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cuF01\Documents\000 SITE WEB DGSC nouveau - 2013\REFORME\documents pour lien - PAR et FAQ\Nouveau 06-2020 comptabilite\"/>
    </mc:Choice>
  </mc:AlternateContent>
  <bookViews>
    <workbookView xWindow="-12" yWindow="-12" windowWidth="7656" windowHeight="9120" tabRatio="721" activeTab="6"/>
  </bookViews>
  <sheets>
    <sheet name="Page de garde" sheetId="4" r:id="rId1"/>
    <sheet name="NavBlad" sheetId="18" state="hidden" r:id="rId2"/>
    <sheet name="Rapp" sheetId="19" state="hidden" r:id="rId3"/>
    <sheet name="Données générales" sheetId="11" r:id="rId4"/>
    <sheet name="Recettes" sheetId="2" r:id="rId5"/>
    <sheet name="Dépenses" sheetId="5" r:id="rId6"/>
    <sheet name="Aperçu général" sheetId="12" r:id="rId7"/>
    <sheet name="Codes" sheetId="16" state="hidden" r:id="rId8"/>
    <sheet name="OverdrOntv" sheetId="13" state="hidden" r:id="rId9"/>
    <sheet name="SchuldOntv" sheetId="17" state="hidden" r:id="rId10"/>
    <sheet name="PersUitg" sheetId="7" state="hidden" r:id="rId11"/>
    <sheet name="WerkUitg" sheetId="6" state="hidden" r:id="rId12"/>
    <sheet name="OverdrUitg" sheetId="8" state="hidden" r:id="rId13"/>
    <sheet name="CorrMech" sheetId="14" state="hidden" r:id="rId14"/>
    <sheet name="SchUitg" sheetId="9" state="hidden" r:id="rId15"/>
    <sheet name="Overboek" sheetId="10" state="hidden" r:id="rId16"/>
    <sheet name="BU" sheetId="15" state="hidden" r:id="rId17"/>
    <sheet name="DivPar" sheetId="3" state="veryHidden" r:id="rId18"/>
    <sheet name="EC" sheetId="1" state="veryHidden" r:id="rId19"/>
  </sheets>
  <definedNames>
    <definedName name="_xlnm._FilterDatabase" localSheetId="5" hidden="1">Dépenses!$A$1:$N$504</definedName>
    <definedName name="_xlnm._FilterDatabase" localSheetId="18" hidden="1">EC!$A$1:$C$677</definedName>
    <definedName name="_xlnm._FilterDatabase" localSheetId="4" hidden="1">Recettes!$A$1:$N$504</definedName>
    <definedName name="BezGrens">DivPar!$B$4:$B$7</definedName>
    <definedName name="EC">EC!$A$2:$A$677</definedName>
    <definedName name="EcGr">EC!$C$2:$C$677</definedName>
    <definedName name="_xlnm.Print_Titles" localSheetId="5">Dépenses!$A:$F,Dépenses!$1:$4</definedName>
    <definedName name="_xlnm.Print_Titles" localSheetId="2">Rapp!$7:$7</definedName>
    <definedName name="_xlnm.Print_Titles" localSheetId="4">Recettes!$A:$F,Recettes!$1:$4</definedName>
    <definedName name="Jaren">DivPar!$A$4:$A$18</definedName>
    <definedName name="JN">DivPar!$C$4:$C$5</definedName>
    <definedName name="OmEC">EC!$B$2:$B$677</definedName>
  </definedNames>
  <calcPr calcId="162913"/>
</workbook>
</file>

<file path=xl/calcChain.xml><?xml version="1.0" encoding="utf-8"?>
<calcChain xmlns="http://schemas.openxmlformats.org/spreadsheetml/2006/main">
  <c r="N12" i="2" l="1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7" i="2"/>
  <c r="N38" i="2"/>
  <c r="N39" i="2"/>
  <c r="N36" i="2"/>
  <c r="N5" i="2"/>
  <c r="N6" i="2"/>
  <c r="N7" i="2"/>
  <c r="N8" i="2"/>
  <c r="N9" i="2"/>
  <c r="N10" i="2"/>
  <c r="N11" i="2"/>
  <c r="N40" i="2"/>
  <c r="N41" i="2"/>
  <c r="N42" i="2"/>
  <c r="F7" i="10" s="1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Q504" i="5"/>
  <c r="Q503" i="5"/>
  <c r="Q502" i="5"/>
  <c r="Q501" i="5"/>
  <c r="Q500" i="5"/>
  <c r="Q499" i="5"/>
  <c r="Q498" i="5"/>
  <c r="Q497" i="5"/>
  <c r="Q496" i="5"/>
  <c r="Q495" i="5"/>
  <c r="Q494" i="5"/>
  <c r="Q493" i="5"/>
  <c r="Q492" i="5"/>
  <c r="Q491" i="5"/>
  <c r="Q490" i="5"/>
  <c r="Q489" i="5"/>
  <c r="Q488" i="5"/>
  <c r="Q487" i="5"/>
  <c r="Q486" i="5"/>
  <c r="Q485" i="5"/>
  <c r="Q484" i="5"/>
  <c r="Q483" i="5"/>
  <c r="Q482" i="5"/>
  <c r="Q481" i="5"/>
  <c r="Q480" i="5"/>
  <c r="Q479" i="5"/>
  <c r="Q478" i="5"/>
  <c r="Q477" i="5"/>
  <c r="Q476" i="5"/>
  <c r="Q475" i="5"/>
  <c r="Q474" i="5"/>
  <c r="Q473" i="5"/>
  <c r="Q472" i="5"/>
  <c r="Q471" i="5"/>
  <c r="Q470" i="5"/>
  <c r="Q469" i="5"/>
  <c r="Q468" i="5"/>
  <c r="Q467" i="5"/>
  <c r="Q466" i="5"/>
  <c r="Q465" i="5"/>
  <c r="Q464" i="5"/>
  <c r="Q463" i="5"/>
  <c r="Q462" i="5"/>
  <c r="Q461" i="5"/>
  <c r="Q460" i="5"/>
  <c r="Q459" i="5"/>
  <c r="Q458" i="5"/>
  <c r="Q457" i="5"/>
  <c r="Q456" i="5"/>
  <c r="Q455" i="5"/>
  <c r="Q454" i="5"/>
  <c r="Q453" i="5"/>
  <c r="Q452" i="5"/>
  <c r="Q451" i="5"/>
  <c r="Q450" i="5"/>
  <c r="Q449" i="5"/>
  <c r="Q448" i="5"/>
  <c r="Q447" i="5"/>
  <c r="Q446" i="5"/>
  <c r="Q445" i="5"/>
  <c r="Q444" i="5"/>
  <c r="Q443" i="5"/>
  <c r="Q442" i="5"/>
  <c r="Q441" i="5"/>
  <c r="Q440" i="5"/>
  <c r="Q439" i="5"/>
  <c r="Q438" i="5"/>
  <c r="Q437" i="5"/>
  <c r="Q436" i="5"/>
  <c r="Q435" i="5"/>
  <c r="Q434" i="5"/>
  <c r="Q433" i="5"/>
  <c r="Q432" i="5"/>
  <c r="Q431" i="5"/>
  <c r="Q430" i="5"/>
  <c r="Q429" i="5"/>
  <c r="Q428" i="5"/>
  <c r="Q427" i="5"/>
  <c r="Q426" i="5"/>
  <c r="Q425" i="5"/>
  <c r="Q424" i="5"/>
  <c r="Q423" i="5"/>
  <c r="Q422" i="5"/>
  <c r="Q421" i="5"/>
  <c r="Q420" i="5"/>
  <c r="Q419" i="5"/>
  <c r="Q418" i="5"/>
  <c r="Q417" i="5"/>
  <c r="Q416" i="5"/>
  <c r="Q415" i="5"/>
  <c r="Q414" i="5"/>
  <c r="Q413" i="5"/>
  <c r="Q412" i="5"/>
  <c r="Q411" i="5"/>
  <c r="Q410" i="5"/>
  <c r="Q409" i="5"/>
  <c r="Q408" i="5"/>
  <c r="Q407" i="5"/>
  <c r="Q406" i="5"/>
  <c r="Q405" i="5"/>
  <c r="Q404" i="5"/>
  <c r="Q403" i="5"/>
  <c r="Q402" i="5"/>
  <c r="Q401" i="5"/>
  <c r="Q400" i="5"/>
  <c r="Q399" i="5"/>
  <c r="Q398" i="5"/>
  <c r="Q397" i="5"/>
  <c r="Q396" i="5"/>
  <c r="Q395" i="5"/>
  <c r="Q394" i="5"/>
  <c r="Q393" i="5"/>
  <c r="Q392" i="5"/>
  <c r="Q391" i="5"/>
  <c r="Q390" i="5"/>
  <c r="Q389" i="5"/>
  <c r="Q388" i="5"/>
  <c r="Q387" i="5"/>
  <c r="Q386" i="5"/>
  <c r="Q385" i="5"/>
  <c r="Q384" i="5"/>
  <c r="Q383" i="5"/>
  <c r="Q382" i="5"/>
  <c r="Q381" i="5"/>
  <c r="Q380" i="5"/>
  <c r="Q379" i="5"/>
  <c r="Q378" i="5"/>
  <c r="Q377" i="5"/>
  <c r="Q376" i="5"/>
  <c r="Q375" i="5"/>
  <c r="Q374" i="5"/>
  <c r="Q373" i="5"/>
  <c r="Q372" i="5"/>
  <c r="Q371" i="5"/>
  <c r="Q370" i="5"/>
  <c r="Q369" i="5"/>
  <c r="Q368" i="5"/>
  <c r="Q367" i="5"/>
  <c r="Q366" i="5"/>
  <c r="Q365" i="5"/>
  <c r="Q364" i="5"/>
  <c r="Q363" i="5"/>
  <c r="Q362" i="5"/>
  <c r="Q361" i="5"/>
  <c r="Q360" i="5"/>
  <c r="Q359" i="5"/>
  <c r="Q358" i="5"/>
  <c r="Q357" i="5"/>
  <c r="Q356" i="5"/>
  <c r="Q355" i="5"/>
  <c r="Q354" i="5"/>
  <c r="Q353" i="5"/>
  <c r="Q352" i="5"/>
  <c r="Q351" i="5"/>
  <c r="Q350" i="5"/>
  <c r="Q349" i="5"/>
  <c r="Q348" i="5"/>
  <c r="Q347" i="5"/>
  <c r="Q346" i="5"/>
  <c r="Q345" i="5"/>
  <c r="Q344" i="5"/>
  <c r="Q343" i="5"/>
  <c r="Q342" i="5"/>
  <c r="Q341" i="5"/>
  <c r="Q340" i="5"/>
  <c r="Q339" i="5"/>
  <c r="Q338" i="5"/>
  <c r="Q337" i="5"/>
  <c r="Q336" i="5"/>
  <c r="Q335" i="5"/>
  <c r="Q334" i="5"/>
  <c r="Q333" i="5"/>
  <c r="Q332" i="5"/>
  <c r="Q331" i="5"/>
  <c r="Q330" i="5"/>
  <c r="Q329" i="5"/>
  <c r="Q328" i="5"/>
  <c r="Q327" i="5"/>
  <c r="Q326" i="5"/>
  <c r="Q325" i="5"/>
  <c r="Q324" i="5"/>
  <c r="Q323" i="5"/>
  <c r="Q322" i="5"/>
  <c r="Q321" i="5"/>
  <c r="Q320" i="5"/>
  <c r="Q319" i="5"/>
  <c r="Q318" i="5"/>
  <c r="Q317" i="5"/>
  <c r="Q316" i="5"/>
  <c r="Q315" i="5"/>
  <c r="Q314" i="5"/>
  <c r="Q313" i="5"/>
  <c r="Q312" i="5"/>
  <c r="Q311" i="5"/>
  <c r="Q310" i="5"/>
  <c r="Q309" i="5"/>
  <c r="Q308" i="5"/>
  <c r="Q307" i="5"/>
  <c r="Q306" i="5"/>
  <c r="Q305" i="5"/>
  <c r="Q304" i="5"/>
  <c r="Q303" i="5"/>
  <c r="Q302" i="5"/>
  <c r="Q301" i="5"/>
  <c r="Q300" i="5"/>
  <c r="Q299" i="5"/>
  <c r="Q298" i="5"/>
  <c r="Q297" i="5"/>
  <c r="Q296" i="5"/>
  <c r="Q295" i="5"/>
  <c r="Q294" i="5"/>
  <c r="Q293" i="5"/>
  <c r="Q292" i="5"/>
  <c r="Q291" i="5"/>
  <c r="Q290" i="5"/>
  <c r="Q289" i="5"/>
  <c r="Q288" i="5"/>
  <c r="Q287" i="5"/>
  <c r="Q286" i="5"/>
  <c r="Q285" i="5"/>
  <c r="Q284" i="5"/>
  <c r="Q283" i="5"/>
  <c r="Q282" i="5"/>
  <c r="Q281" i="5"/>
  <c r="Q280" i="5"/>
  <c r="Q279" i="5"/>
  <c r="Q278" i="5"/>
  <c r="Q277" i="5"/>
  <c r="Q276" i="5"/>
  <c r="Q275" i="5"/>
  <c r="Q274" i="5"/>
  <c r="Q273" i="5"/>
  <c r="Q272" i="5"/>
  <c r="Q271" i="5"/>
  <c r="Q270" i="5"/>
  <c r="Q269" i="5"/>
  <c r="Q268" i="5"/>
  <c r="Q267" i="5"/>
  <c r="Q266" i="5"/>
  <c r="Q265" i="5"/>
  <c r="Q264" i="5"/>
  <c r="Q263" i="5"/>
  <c r="Q262" i="5"/>
  <c r="Q261" i="5"/>
  <c r="Q260" i="5"/>
  <c r="Q259" i="5"/>
  <c r="Q258" i="5"/>
  <c r="Q257" i="5"/>
  <c r="Q256" i="5"/>
  <c r="Q255" i="5"/>
  <c r="Q254" i="5"/>
  <c r="Q253" i="5"/>
  <c r="Q252" i="5"/>
  <c r="Q251" i="5"/>
  <c r="Q250" i="5"/>
  <c r="Q249" i="5"/>
  <c r="Q248" i="5"/>
  <c r="Q247" i="5"/>
  <c r="Q246" i="5"/>
  <c r="Q245" i="5"/>
  <c r="Q244" i="5"/>
  <c r="Q243" i="5"/>
  <c r="Q242" i="5"/>
  <c r="Q241" i="5"/>
  <c r="Q240" i="5"/>
  <c r="Q239" i="5"/>
  <c r="Q238" i="5"/>
  <c r="Q237" i="5"/>
  <c r="Q236" i="5"/>
  <c r="Q235" i="5"/>
  <c r="Q234" i="5"/>
  <c r="Q233" i="5"/>
  <c r="Q232" i="5"/>
  <c r="Q231" i="5"/>
  <c r="Q230" i="5"/>
  <c r="Q229" i="5"/>
  <c r="Q228" i="5"/>
  <c r="Q227" i="5"/>
  <c r="Q226" i="5"/>
  <c r="Q225" i="5"/>
  <c r="Q224" i="5"/>
  <c r="Q223" i="5"/>
  <c r="Q222" i="5"/>
  <c r="Q221" i="5"/>
  <c r="Q220" i="5"/>
  <c r="Q219" i="5"/>
  <c r="Q218" i="5"/>
  <c r="Q217" i="5"/>
  <c r="Q216" i="5"/>
  <c r="Q215" i="5"/>
  <c r="Q214" i="5"/>
  <c r="Q213" i="5"/>
  <c r="Q212" i="5"/>
  <c r="Q211" i="5"/>
  <c r="Q210" i="5"/>
  <c r="Q209" i="5"/>
  <c r="Q208" i="5"/>
  <c r="Q207" i="5"/>
  <c r="Q206" i="5"/>
  <c r="Q205" i="5"/>
  <c r="Q204" i="5"/>
  <c r="Q203" i="5"/>
  <c r="Q202" i="5"/>
  <c r="Q201" i="5"/>
  <c r="Q200" i="5"/>
  <c r="Q199" i="5"/>
  <c r="Q198" i="5"/>
  <c r="Q197" i="5"/>
  <c r="Q196" i="5"/>
  <c r="Q195" i="5"/>
  <c r="Q194" i="5"/>
  <c r="Q193" i="5"/>
  <c r="Q192" i="5"/>
  <c r="Q191" i="5"/>
  <c r="Q190" i="5"/>
  <c r="Q189" i="5"/>
  <c r="Q188" i="5"/>
  <c r="Q187" i="5"/>
  <c r="Q186" i="5"/>
  <c r="Q185" i="5"/>
  <c r="Q184" i="5"/>
  <c r="Q183" i="5"/>
  <c r="Q182" i="5"/>
  <c r="Q181" i="5"/>
  <c r="Q180" i="5"/>
  <c r="Q179" i="5"/>
  <c r="Q178" i="5"/>
  <c r="Q177" i="5"/>
  <c r="Q176" i="5"/>
  <c r="Q175" i="5"/>
  <c r="Q174" i="5"/>
  <c r="Q173" i="5"/>
  <c r="Q172" i="5"/>
  <c r="Q171" i="5"/>
  <c r="Q170" i="5"/>
  <c r="Q169" i="5"/>
  <c r="Q168" i="5"/>
  <c r="Q167" i="5"/>
  <c r="Q166" i="5"/>
  <c r="Q165" i="5"/>
  <c r="Q164" i="5"/>
  <c r="Q163" i="5"/>
  <c r="Q162" i="5"/>
  <c r="Q161" i="5"/>
  <c r="Q160" i="5"/>
  <c r="Q159" i="5"/>
  <c r="Q158" i="5"/>
  <c r="Q157" i="5"/>
  <c r="Q156" i="5"/>
  <c r="Q155" i="5"/>
  <c r="Q154" i="5"/>
  <c r="Q153" i="5"/>
  <c r="Q152" i="5"/>
  <c r="Q151" i="5"/>
  <c r="Q150" i="5"/>
  <c r="Q149" i="5"/>
  <c r="Q148" i="5"/>
  <c r="Q147" i="5"/>
  <c r="Q146" i="5"/>
  <c r="Q145" i="5"/>
  <c r="Q144" i="5"/>
  <c r="Q143" i="5"/>
  <c r="Q142" i="5"/>
  <c r="Q141" i="5"/>
  <c r="Q140" i="5"/>
  <c r="Q139" i="5"/>
  <c r="Q138" i="5"/>
  <c r="Q137" i="5"/>
  <c r="Q136" i="5"/>
  <c r="Q135" i="5"/>
  <c r="Q134" i="5"/>
  <c r="Q133" i="5"/>
  <c r="Q132" i="5"/>
  <c r="Q131" i="5"/>
  <c r="Q130" i="5"/>
  <c r="Q129" i="5"/>
  <c r="Q128" i="5"/>
  <c r="Q127" i="5"/>
  <c r="Q126" i="5"/>
  <c r="Q125" i="5"/>
  <c r="Q124" i="5"/>
  <c r="Q123" i="5"/>
  <c r="Q122" i="5"/>
  <c r="Q121" i="5"/>
  <c r="Q120" i="5"/>
  <c r="Q119" i="5"/>
  <c r="Q118" i="5"/>
  <c r="Q117" i="5"/>
  <c r="Q116" i="5"/>
  <c r="Q115" i="5"/>
  <c r="Q114" i="5"/>
  <c r="Q113" i="5"/>
  <c r="Q112" i="5"/>
  <c r="Q111" i="5"/>
  <c r="Q110" i="5"/>
  <c r="Q109" i="5"/>
  <c r="Q108" i="5"/>
  <c r="Q107" i="5"/>
  <c r="Q106" i="5"/>
  <c r="Q105" i="5"/>
  <c r="Q104" i="5"/>
  <c r="Q103" i="5"/>
  <c r="Q102" i="5"/>
  <c r="Q101" i="5"/>
  <c r="Q100" i="5"/>
  <c r="Q99" i="5"/>
  <c r="Q98" i="5"/>
  <c r="Q97" i="5"/>
  <c r="Q96" i="5"/>
  <c r="Q95" i="5"/>
  <c r="Q94" i="5"/>
  <c r="Q93" i="5"/>
  <c r="Q92" i="5"/>
  <c r="Q91" i="5"/>
  <c r="Q90" i="5"/>
  <c r="Q89" i="5"/>
  <c r="Q88" i="5"/>
  <c r="Q87" i="5"/>
  <c r="Q86" i="5"/>
  <c r="Q85" i="5"/>
  <c r="Q84" i="5"/>
  <c r="Q83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F34" i="6" s="1"/>
  <c r="N53" i="5"/>
  <c r="N54" i="5"/>
  <c r="F36" i="6" s="1"/>
  <c r="N55" i="5"/>
  <c r="N56" i="5"/>
  <c r="N57" i="5"/>
  <c r="N58" i="5"/>
  <c r="N59" i="5"/>
  <c r="N60" i="5"/>
  <c r="N61" i="5"/>
  <c r="N62" i="5"/>
  <c r="F40" i="6" s="1"/>
  <c r="N63" i="5"/>
  <c r="N64" i="5"/>
  <c r="F42" i="6" s="1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F39" i="10" s="1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N104" i="5"/>
  <c r="N105" i="5"/>
  <c r="N106" i="5"/>
  <c r="N107" i="5"/>
  <c r="N108" i="5"/>
  <c r="N109" i="5"/>
  <c r="F48" i="6" s="1"/>
  <c r="N110" i="5"/>
  <c r="N111" i="5"/>
  <c r="N112" i="5"/>
  <c r="N113" i="5"/>
  <c r="N114" i="5"/>
  <c r="N115" i="5"/>
  <c r="N116" i="5"/>
  <c r="N117" i="5"/>
  <c r="N118" i="5"/>
  <c r="N119" i="5"/>
  <c r="N99" i="5"/>
  <c r="N100" i="5"/>
  <c r="N101" i="5"/>
  <c r="N102" i="5"/>
  <c r="N103" i="5"/>
  <c r="N120" i="5"/>
  <c r="Q504" i="2"/>
  <c r="Q503" i="2"/>
  <c r="Q502" i="2"/>
  <c r="Q501" i="2"/>
  <c r="Q500" i="2"/>
  <c r="Q499" i="2"/>
  <c r="Q498" i="2"/>
  <c r="Q497" i="2"/>
  <c r="Q496" i="2"/>
  <c r="Q495" i="2"/>
  <c r="Q494" i="2"/>
  <c r="Q493" i="2"/>
  <c r="Q492" i="2"/>
  <c r="Q491" i="2"/>
  <c r="Q490" i="2"/>
  <c r="Q489" i="2"/>
  <c r="Q488" i="2"/>
  <c r="Q487" i="2"/>
  <c r="Q486" i="2"/>
  <c r="Q485" i="2"/>
  <c r="Q484" i="2"/>
  <c r="Q483" i="2"/>
  <c r="Q482" i="2"/>
  <c r="Q481" i="2"/>
  <c r="Q480" i="2"/>
  <c r="Q479" i="2"/>
  <c r="Q478" i="2"/>
  <c r="Q477" i="2"/>
  <c r="Q476" i="2"/>
  <c r="Q475" i="2"/>
  <c r="Q474" i="2"/>
  <c r="Q473" i="2"/>
  <c r="Q472" i="2"/>
  <c r="Q471" i="2"/>
  <c r="Q470" i="2"/>
  <c r="Q469" i="2"/>
  <c r="Q468" i="2"/>
  <c r="Q467" i="2"/>
  <c r="Q466" i="2"/>
  <c r="Q465" i="2"/>
  <c r="Q464" i="2"/>
  <c r="Q463" i="2"/>
  <c r="Q462" i="2"/>
  <c r="Q461" i="2"/>
  <c r="Q460" i="2"/>
  <c r="Q459" i="2"/>
  <c r="Q458" i="2"/>
  <c r="Q457" i="2"/>
  <c r="Q456" i="2"/>
  <c r="Q455" i="2"/>
  <c r="Q454" i="2"/>
  <c r="Q453" i="2"/>
  <c r="Q452" i="2"/>
  <c r="Q451" i="2"/>
  <c r="Q450" i="2"/>
  <c r="Q449" i="2"/>
  <c r="Q448" i="2"/>
  <c r="Q447" i="2"/>
  <c r="Q446" i="2"/>
  <c r="Q445" i="2"/>
  <c r="Q444" i="2"/>
  <c r="Q443" i="2"/>
  <c r="Q442" i="2"/>
  <c r="Q441" i="2"/>
  <c r="Q440" i="2"/>
  <c r="Q439" i="2"/>
  <c r="Q438" i="2"/>
  <c r="Q437" i="2"/>
  <c r="Q436" i="2"/>
  <c r="Q435" i="2"/>
  <c r="Q434" i="2"/>
  <c r="Q433" i="2"/>
  <c r="Q432" i="2"/>
  <c r="Q431" i="2"/>
  <c r="Q430" i="2"/>
  <c r="Q429" i="2"/>
  <c r="Q428" i="2"/>
  <c r="Q427" i="2"/>
  <c r="Q426" i="2"/>
  <c r="Q425" i="2"/>
  <c r="Q424" i="2"/>
  <c r="Q423" i="2"/>
  <c r="Q422" i="2"/>
  <c r="Q421" i="2"/>
  <c r="Q420" i="2"/>
  <c r="Q419" i="2"/>
  <c r="Q418" i="2"/>
  <c r="Q417" i="2"/>
  <c r="Q416" i="2"/>
  <c r="Q415" i="2"/>
  <c r="Q414" i="2"/>
  <c r="Q413" i="2"/>
  <c r="Q412" i="2"/>
  <c r="Q411" i="2"/>
  <c r="Q410" i="2"/>
  <c r="Q409" i="2"/>
  <c r="Q408" i="2"/>
  <c r="Q407" i="2"/>
  <c r="Q406" i="2"/>
  <c r="Q405" i="2"/>
  <c r="Q404" i="2"/>
  <c r="Q403" i="2"/>
  <c r="Q402" i="2"/>
  <c r="Q401" i="2"/>
  <c r="Q400" i="2"/>
  <c r="Q399" i="2"/>
  <c r="Q398" i="2"/>
  <c r="Q397" i="2"/>
  <c r="Q396" i="2"/>
  <c r="Q395" i="2"/>
  <c r="Q394" i="2"/>
  <c r="Q393" i="2"/>
  <c r="Q392" i="2"/>
  <c r="Q391" i="2"/>
  <c r="Q390" i="2"/>
  <c r="Q389" i="2"/>
  <c r="Q388" i="2"/>
  <c r="Q387" i="2"/>
  <c r="Q386" i="2"/>
  <c r="Q385" i="2"/>
  <c r="Q384" i="2"/>
  <c r="Q383" i="2"/>
  <c r="Q382" i="2"/>
  <c r="Q381" i="2"/>
  <c r="Q380" i="2"/>
  <c r="Q379" i="2"/>
  <c r="Q378" i="2"/>
  <c r="Q377" i="2"/>
  <c r="Q376" i="2"/>
  <c r="Q375" i="2"/>
  <c r="Q374" i="2"/>
  <c r="Q373" i="2"/>
  <c r="Q372" i="2"/>
  <c r="Q371" i="2"/>
  <c r="Q370" i="2"/>
  <c r="Q369" i="2"/>
  <c r="Q368" i="2"/>
  <c r="Q367" i="2"/>
  <c r="Q366" i="2"/>
  <c r="Q365" i="2"/>
  <c r="Q364" i="2"/>
  <c r="Q363" i="2"/>
  <c r="Q362" i="2"/>
  <c r="Q361" i="2"/>
  <c r="Q360" i="2"/>
  <c r="Q359" i="2"/>
  <c r="Q358" i="2"/>
  <c r="Q357" i="2"/>
  <c r="Q356" i="2"/>
  <c r="Q355" i="2"/>
  <c r="Q354" i="2"/>
  <c r="Q353" i="2"/>
  <c r="Q352" i="2"/>
  <c r="Q351" i="2"/>
  <c r="Q350" i="2"/>
  <c r="Q349" i="2"/>
  <c r="Q348" i="2"/>
  <c r="Q347" i="2"/>
  <c r="Q346" i="2"/>
  <c r="Q345" i="2"/>
  <c r="Q344" i="2"/>
  <c r="Q343" i="2"/>
  <c r="Q342" i="2"/>
  <c r="Q341" i="2"/>
  <c r="Q340" i="2"/>
  <c r="Q339" i="2"/>
  <c r="Q338" i="2"/>
  <c r="Q337" i="2"/>
  <c r="Q336" i="2"/>
  <c r="Q335" i="2"/>
  <c r="Q334" i="2"/>
  <c r="Q333" i="2"/>
  <c r="Q332" i="2"/>
  <c r="Q331" i="2"/>
  <c r="Q330" i="2"/>
  <c r="Q329" i="2"/>
  <c r="Q328" i="2"/>
  <c r="Q327" i="2"/>
  <c r="Q326" i="2"/>
  <c r="Q325" i="2"/>
  <c r="Q324" i="2"/>
  <c r="Q323" i="2"/>
  <c r="Q322" i="2"/>
  <c r="Q321" i="2"/>
  <c r="Q320" i="2"/>
  <c r="Q319" i="2"/>
  <c r="Q318" i="2"/>
  <c r="Q317" i="2"/>
  <c r="Q316" i="2"/>
  <c r="Q315" i="2"/>
  <c r="Q314" i="2"/>
  <c r="Q313" i="2"/>
  <c r="Q312" i="2"/>
  <c r="Q311" i="2"/>
  <c r="Q310" i="2"/>
  <c r="Q309" i="2"/>
  <c r="Q308" i="2"/>
  <c r="Q307" i="2"/>
  <c r="Q306" i="2"/>
  <c r="Q305" i="2"/>
  <c r="Q304" i="2"/>
  <c r="Q303" i="2"/>
  <c r="Q302" i="2"/>
  <c r="Q301" i="2"/>
  <c r="Q300" i="2"/>
  <c r="Q299" i="2"/>
  <c r="Q298" i="2"/>
  <c r="Q297" i="2"/>
  <c r="Q296" i="2"/>
  <c r="Q295" i="2"/>
  <c r="Q294" i="2"/>
  <c r="Q293" i="2"/>
  <c r="Q292" i="2"/>
  <c r="Q291" i="2"/>
  <c r="Q290" i="2"/>
  <c r="Q289" i="2"/>
  <c r="Q288" i="2"/>
  <c r="Q287" i="2"/>
  <c r="Q286" i="2"/>
  <c r="Q285" i="2"/>
  <c r="Q284" i="2"/>
  <c r="Q283" i="2"/>
  <c r="Q282" i="2"/>
  <c r="Q281" i="2"/>
  <c r="Q280" i="2"/>
  <c r="Q279" i="2"/>
  <c r="Q278" i="2"/>
  <c r="Q277" i="2"/>
  <c r="Q276" i="2"/>
  <c r="Q275" i="2"/>
  <c r="Q274" i="2"/>
  <c r="Q273" i="2"/>
  <c r="Q272" i="2"/>
  <c r="Q271" i="2"/>
  <c r="Q270" i="2"/>
  <c r="Q269" i="2"/>
  <c r="Q268" i="2"/>
  <c r="Q267" i="2"/>
  <c r="Q266" i="2"/>
  <c r="Q265" i="2"/>
  <c r="Q264" i="2"/>
  <c r="Q263" i="2"/>
  <c r="Q262" i="2"/>
  <c r="Q261" i="2"/>
  <c r="Q260" i="2"/>
  <c r="Q259" i="2"/>
  <c r="Q258" i="2"/>
  <c r="Q257" i="2"/>
  <c r="Q256" i="2"/>
  <c r="Q255" i="2"/>
  <c r="Q254" i="2"/>
  <c r="Q253" i="2"/>
  <c r="Q252" i="2"/>
  <c r="Q251" i="2"/>
  <c r="Q250" i="2"/>
  <c r="Q249" i="2"/>
  <c r="Q248" i="2"/>
  <c r="Q247" i="2"/>
  <c r="Q246" i="2"/>
  <c r="Q245" i="2"/>
  <c r="Q244" i="2"/>
  <c r="Q243" i="2"/>
  <c r="Q242" i="2"/>
  <c r="Q241" i="2"/>
  <c r="Q240" i="2"/>
  <c r="Q239" i="2"/>
  <c r="Q238" i="2"/>
  <c r="Q237" i="2"/>
  <c r="Q236" i="2"/>
  <c r="Q235" i="2"/>
  <c r="Q234" i="2"/>
  <c r="Q233" i="2"/>
  <c r="Q232" i="2"/>
  <c r="Q231" i="2"/>
  <c r="Q230" i="2"/>
  <c r="Q229" i="2"/>
  <c r="Q228" i="2"/>
  <c r="Q227" i="2"/>
  <c r="Q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Q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Q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Q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90" i="5"/>
  <c r="N291" i="5"/>
  <c r="N292" i="5"/>
  <c r="N293" i="5"/>
  <c r="N294" i="5"/>
  <c r="N295" i="5"/>
  <c r="N296" i="5"/>
  <c r="N297" i="5"/>
  <c r="N298" i="5"/>
  <c r="N299" i="5"/>
  <c r="N300" i="5"/>
  <c r="N301" i="5"/>
  <c r="N302" i="5"/>
  <c r="N303" i="5"/>
  <c r="N304" i="5"/>
  <c r="N305" i="5"/>
  <c r="N306" i="5"/>
  <c r="N307" i="5"/>
  <c r="N308" i="5"/>
  <c r="N309" i="5"/>
  <c r="N310" i="5"/>
  <c r="N311" i="5"/>
  <c r="N312" i="5"/>
  <c r="N313" i="5"/>
  <c r="N314" i="5"/>
  <c r="N315" i="5"/>
  <c r="N316" i="5"/>
  <c r="N317" i="5"/>
  <c r="N318" i="5"/>
  <c r="N319" i="5"/>
  <c r="N320" i="5"/>
  <c r="N321" i="5"/>
  <c r="N322" i="5"/>
  <c r="N323" i="5"/>
  <c r="N324" i="5"/>
  <c r="N325" i="5"/>
  <c r="N326" i="5"/>
  <c r="N327" i="5"/>
  <c r="N328" i="5"/>
  <c r="N329" i="5"/>
  <c r="N330" i="5"/>
  <c r="N331" i="5"/>
  <c r="N332" i="5"/>
  <c r="N333" i="5"/>
  <c r="N334" i="5"/>
  <c r="N335" i="5"/>
  <c r="N336" i="5"/>
  <c r="N337" i="5"/>
  <c r="N338" i="5"/>
  <c r="N339" i="5"/>
  <c r="N340" i="5"/>
  <c r="N341" i="5"/>
  <c r="N342" i="5"/>
  <c r="N343" i="5"/>
  <c r="N344" i="5"/>
  <c r="N345" i="5"/>
  <c r="N346" i="5"/>
  <c r="N347" i="5"/>
  <c r="N348" i="5"/>
  <c r="N349" i="5"/>
  <c r="N350" i="5"/>
  <c r="N351" i="5"/>
  <c r="N352" i="5"/>
  <c r="N353" i="5"/>
  <c r="N354" i="5"/>
  <c r="N355" i="5"/>
  <c r="N356" i="5"/>
  <c r="N357" i="5"/>
  <c r="N358" i="5"/>
  <c r="N359" i="5"/>
  <c r="N360" i="5"/>
  <c r="N361" i="5"/>
  <c r="N362" i="5"/>
  <c r="N363" i="5"/>
  <c r="N364" i="5"/>
  <c r="N365" i="5"/>
  <c r="N366" i="5"/>
  <c r="N367" i="5"/>
  <c r="N368" i="5"/>
  <c r="N369" i="5"/>
  <c r="N370" i="5"/>
  <c r="N371" i="5"/>
  <c r="N372" i="5"/>
  <c r="N373" i="5"/>
  <c r="N374" i="5"/>
  <c r="N375" i="5"/>
  <c r="N376" i="5"/>
  <c r="N377" i="5"/>
  <c r="N378" i="5"/>
  <c r="N379" i="5"/>
  <c r="N380" i="5"/>
  <c r="N381" i="5"/>
  <c r="N382" i="5"/>
  <c r="N383" i="5"/>
  <c r="N384" i="5"/>
  <c r="N385" i="5"/>
  <c r="N386" i="5"/>
  <c r="N387" i="5"/>
  <c r="N388" i="5"/>
  <c r="N389" i="5"/>
  <c r="N390" i="5"/>
  <c r="N391" i="5"/>
  <c r="N392" i="5"/>
  <c r="N393" i="5"/>
  <c r="N394" i="5"/>
  <c r="N395" i="5"/>
  <c r="N396" i="5"/>
  <c r="N397" i="5"/>
  <c r="N398" i="5"/>
  <c r="N399" i="5"/>
  <c r="N400" i="5"/>
  <c r="N401" i="5"/>
  <c r="N402" i="5"/>
  <c r="N403" i="5"/>
  <c r="N404" i="5"/>
  <c r="N405" i="5"/>
  <c r="N406" i="5"/>
  <c r="N407" i="5"/>
  <c r="N408" i="5"/>
  <c r="N409" i="5"/>
  <c r="N410" i="5"/>
  <c r="N411" i="5"/>
  <c r="N412" i="5"/>
  <c r="N413" i="5"/>
  <c r="N414" i="5"/>
  <c r="N415" i="5"/>
  <c r="N416" i="5"/>
  <c r="N417" i="5"/>
  <c r="N418" i="5"/>
  <c r="N419" i="5"/>
  <c r="N420" i="5"/>
  <c r="N421" i="5"/>
  <c r="N422" i="5"/>
  <c r="N423" i="5"/>
  <c r="N424" i="5"/>
  <c r="N425" i="5"/>
  <c r="N426" i="5"/>
  <c r="N427" i="5"/>
  <c r="N428" i="5"/>
  <c r="N429" i="5"/>
  <c r="N430" i="5"/>
  <c r="N431" i="5"/>
  <c r="N432" i="5"/>
  <c r="N433" i="5"/>
  <c r="N434" i="5"/>
  <c r="N435" i="5"/>
  <c r="N436" i="5"/>
  <c r="N437" i="5"/>
  <c r="N438" i="5"/>
  <c r="N439" i="5"/>
  <c r="N440" i="5"/>
  <c r="N441" i="5"/>
  <c r="N442" i="5"/>
  <c r="N443" i="5"/>
  <c r="N444" i="5"/>
  <c r="N445" i="5"/>
  <c r="N446" i="5"/>
  <c r="N447" i="5"/>
  <c r="N448" i="5"/>
  <c r="N449" i="5"/>
  <c r="N450" i="5"/>
  <c r="N451" i="5"/>
  <c r="N452" i="5"/>
  <c r="N453" i="5"/>
  <c r="N454" i="5"/>
  <c r="N455" i="5"/>
  <c r="N456" i="5"/>
  <c r="N457" i="5"/>
  <c r="N458" i="5"/>
  <c r="N459" i="5"/>
  <c r="N460" i="5"/>
  <c r="N461" i="5"/>
  <c r="N462" i="5"/>
  <c r="N463" i="5"/>
  <c r="N464" i="5"/>
  <c r="N465" i="5"/>
  <c r="N466" i="5"/>
  <c r="N467" i="5"/>
  <c r="N468" i="5"/>
  <c r="N469" i="5"/>
  <c r="N470" i="5"/>
  <c r="N471" i="5"/>
  <c r="N472" i="5"/>
  <c r="N473" i="5"/>
  <c r="N474" i="5"/>
  <c r="N475" i="5"/>
  <c r="N476" i="5"/>
  <c r="N477" i="5"/>
  <c r="N478" i="5"/>
  <c r="N479" i="5"/>
  <c r="N480" i="5"/>
  <c r="N481" i="5"/>
  <c r="N482" i="5"/>
  <c r="N483" i="5"/>
  <c r="N484" i="5"/>
  <c r="N485" i="5"/>
  <c r="N486" i="5"/>
  <c r="N487" i="5"/>
  <c r="N488" i="5"/>
  <c r="N489" i="5"/>
  <c r="N490" i="5"/>
  <c r="N491" i="5"/>
  <c r="N492" i="5"/>
  <c r="N493" i="5"/>
  <c r="N494" i="5"/>
  <c r="N495" i="5"/>
  <c r="N496" i="5"/>
  <c r="N497" i="5"/>
  <c r="N498" i="5"/>
  <c r="N499" i="5"/>
  <c r="N500" i="5"/>
  <c r="N501" i="5"/>
  <c r="N502" i="5"/>
  <c r="N503" i="5"/>
  <c r="N504" i="5"/>
  <c r="I21" i="11"/>
  <c r="I22" i="11"/>
  <c r="I23" i="11"/>
  <c r="I24" i="11"/>
  <c r="I25" i="11"/>
  <c r="I26" i="11"/>
  <c r="I27" i="11"/>
  <c r="I28" i="11"/>
  <c r="I29" i="11"/>
  <c r="I30" i="11"/>
  <c r="D5" i="11"/>
  <c r="D20" i="11" s="1"/>
  <c r="D34" i="11" s="1"/>
  <c r="I35" i="11"/>
  <c r="I36" i="11"/>
  <c r="I37" i="11"/>
  <c r="I38" i="11"/>
  <c r="I39" i="11"/>
  <c r="I40" i="11"/>
  <c r="I41" i="11"/>
  <c r="I42" i="11"/>
  <c r="I43" i="11"/>
  <c r="I44" i="11"/>
  <c r="I14" i="11"/>
  <c r="I13" i="11"/>
  <c r="H19" i="12" s="1"/>
  <c r="K63" i="11"/>
  <c r="K61" i="11"/>
  <c r="K59" i="11"/>
  <c r="K57" i="11"/>
  <c r="K55" i="11"/>
  <c r="K53" i="11"/>
  <c r="K14" i="11"/>
  <c r="K13" i="11"/>
  <c r="F20" i="11"/>
  <c r="F34" i="11" s="1"/>
  <c r="G20" i="11"/>
  <c r="G34" i="11" s="1"/>
  <c r="H20" i="11"/>
  <c r="E20" i="11"/>
  <c r="H45" i="11"/>
  <c r="E45" i="11"/>
  <c r="F45" i="11"/>
  <c r="G45" i="11"/>
  <c r="D45" i="11"/>
  <c r="E31" i="11"/>
  <c r="F31" i="11"/>
  <c r="G31" i="11"/>
  <c r="H31" i="11"/>
  <c r="D31" i="11"/>
  <c r="C36" i="11"/>
  <c r="C37" i="11"/>
  <c r="C38" i="11"/>
  <c r="C39" i="11"/>
  <c r="C40" i="11"/>
  <c r="C41" i="11"/>
  <c r="C42" i="11"/>
  <c r="C43" i="11"/>
  <c r="C44" i="11"/>
  <c r="C35" i="11"/>
  <c r="B22" i="11"/>
  <c r="B35" i="11"/>
  <c r="C34" i="11"/>
  <c r="E34" i="11"/>
  <c r="H34" i="11"/>
  <c r="E8" i="11"/>
  <c r="F8" i="11"/>
  <c r="G8" i="11"/>
  <c r="H8" i="11"/>
  <c r="D8" i="11"/>
  <c r="P504" i="5"/>
  <c r="P503" i="5"/>
  <c r="P502" i="5"/>
  <c r="P501" i="5"/>
  <c r="P500" i="5"/>
  <c r="P499" i="5"/>
  <c r="P498" i="5"/>
  <c r="P497" i="5"/>
  <c r="P496" i="5"/>
  <c r="P495" i="5"/>
  <c r="P494" i="5"/>
  <c r="P493" i="5"/>
  <c r="P492" i="5"/>
  <c r="P491" i="5"/>
  <c r="P490" i="5"/>
  <c r="P489" i="5"/>
  <c r="P488" i="5"/>
  <c r="P487" i="5"/>
  <c r="P486" i="5"/>
  <c r="P485" i="5"/>
  <c r="P484" i="5"/>
  <c r="P483" i="5"/>
  <c r="P482" i="5"/>
  <c r="P481" i="5"/>
  <c r="P480" i="5"/>
  <c r="P479" i="5"/>
  <c r="P478" i="5"/>
  <c r="P477" i="5"/>
  <c r="P476" i="5"/>
  <c r="P475" i="5"/>
  <c r="P474" i="5"/>
  <c r="P473" i="5"/>
  <c r="P472" i="5"/>
  <c r="P471" i="5"/>
  <c r="P470" i="5"/>
  <c r="P469" i="5"/>
  <c r="P468" i="5"/>
  <c r="P467" i="5"/>
  <c r="P466" i="5"/>
  <c r="P465" i="5"/>
  <c r="P464" i="5"/>
  <c r="P463" i="5"/>
  <c r="P462" i="5"/>
  <c r="P461" i="5"/>
  <c r="P460" i="5"/>
  <c r="P459" i="5"/>
  <c r="P458" i="5"/>
  <c r="P457" i="5"/>
  <c r="P456" i="5"/>
  <c r="P455" i="5"/>
  <c r="P454" i="5"/>
  <c r="P453" i="5"/>
  <c r="P452" i="5"/>
  <c r="P451" i="5"/>
  <c r="P450" i="5"/>
  <c r="P449" i="5"/>
  <c r="P448" i="5"/>
  <c r="P447" i="5"/>
  <c r="P446" i="5"/>
  <c r="P445" i="5"/>
  <c r="P444" i="5"/>
  <c r="P443" i="5"/>
  <c r="P442" i="5"/>
  <c r="P441" i="5"/>
  <c r="P440" i="5"/>
  <c r="P439" i="5"/>
  <c r="P438" i="5"/>
  <c r="P437" i="5"/>
  <c r="P436" i="5"/>
  <c r="P435" i="5"/>
  <c r="P434" i="5"/>
  <c r="P433" i="5"/>
  <c r="P432" i="5"/>
  <c r="P431" i="5"/>
  <c r="P430" i="5"/>
  <c r="P429" i="5"/>
  <c r="P428" i="5"/>
  <c r="P427" i="5"/>
  <c r="P426" i="5"/>
  <c r="P425" i="5"/>
  <c r="P424" i="5"/>
  <c r="P423" i="5"/>
  <c r="P422" i="5"/>
  <c r="P421" i="5"/>
  <c r="P420" i="5"/>
  <c r="P419" i="5"/>
  <c r="P418" i="5"/>
  <c r="P417" i="5"/>
  <c r="P416" i="5"/>
  <c r="P415" i="5"/>
  <c r="P414" i="5"/>
  <c r="P413" i="5"/>
  <c r="P412" i="5"/>
  <c r="P411" i="5"/>
  <c r="P410" i="5"/>
  <c r="P409" i="5"/>
  <c r="P408" i="5"/>
  <c r="P407" i="5"/>
  <c r="P406" i="5"/>
  <c r="P405" i="5"/>
  <c r="P404" i="5"/>
  <c r="P403" i="5"/>
  <c r="P402" i="5"/>
  <c r="P401" i="5"/>
  <c r="P400" i="5"/>
  <c r="P399" i="5"/>
  <c r="P398" i="5"/>
  <c r="P397" i="5"/>
  <c r="P396" i="5"/>
  <c r="P395" i="5"/>
  <c r="P394" i="5"/>
  <c r="P393" i="5"/>
  <c r="P392" i="5"/>
  <c r="P391" i="5"/>
  <c r="P390" i="5"/>
  <c r="P389" i="5"/>
  <c r="P388" i="5"/>
  <c r="P387" i="5"/>
  <c r="P386" i="5"/>
  <c r="P385" i="5"/>
  <c r="P384" i="5"/>
  <c r="P383" i="5"/>
  <c r="P382" i="5"/>
  <c r="P381" i="5"/>
  <c r="P380" i="5"/>
  <c r="P379" i="5"/>
  <c r="P378" i="5"/>
  <c r="P377" i="5"/>
  <c r="P376" i="5"/>
  <c r="P375" i="5"/>
  <c r="P374" i="5"/>
  <c r="P373" i="5"/>
  <c r="P372" i="5"/>
  <c r="P371" i="5"/>
  <c r="P370" i="5"/>
  <c r="P369" i="5"/>
  <c r="P368" i="5"/>
  <c r="P367" i="5"/>
  <c r="P366" i="5"/>
  <c r="P365" i="5"/>
  <c r="P364" i="5"/>
  <c r="P363" i="5"/>
  <c r="P362" i="5"/>
  <c r="P361" i="5"/>
  <c r="P360" i="5"/>
  <c r="P359" i="5"/>
  <c r="P358" i="5"/>
  <c r="P357" i="5"/>
  <c r="P356" i="5"/>
  <c r="P355" i="5"/>
  <c r="P354" i="5"/>
  <c r="P353" i="5"/>
  <c r="P352" i="5"/>
  <c r="P351" i="5"/>
  <c r="P350" i="5"/>
  <c r="P349" i="5"/>
  <c r="P348" i="5"/>
  <c r="P347" i="5"/>
  <c r="P346" i="5"/>
  <c r="P345" i="5"/>
  <c r="P344" i="5"/>
  <c r="P343" i="5"/>
  <c r="P342" i="5"/>
  <c r="P341" i="5"/>
  <c r="P340" i="5"/>
  <c r="P339" i="5"/>
  <c r="P338" i="5"/>
  <c r="P337" i="5"/>
  <c r="P336" i="5"/>
  <c r="P335" i="5"/>
  <c r="P334" i="5"/>
  <c r="P333" i="5"/>
  <c r="P332" i="5"/>
  <c r="P331" i="5"/>
  <c r="P330" i="5"/>
  <c r="P329" i="5"/>
  <c r="P328" i="5"/>
  <c r="P327" i="5"/>
  <c r="P326" i="5"/>
  <c r="P325" i="5"/>
  <c r="P324" i="5"/>
  <c r="P323" i="5"/>
  <c r="P322" i="5"/>
  <c r="P321" i="5"/>
  <c r="P320" i="5"/>
  <c r="P319" i="5"/>
  <c r="P318" i="5"/>
  <c r="P317" i="5"/>
  <c r="P316" i="5"/>
  <c r="P315" i="5"/>
  <c r="P314" i="5"/>
  <c r="P313" i="5"/>
  <c r="P312" i="5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7" i="5"/>
  <c r="P246" i="5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D504" i="2"/>
  <c r="R504" i="2" s="1"/>
  <c r="D503" i="2"/>
  <c r="R503" i="2" s="1"/>
  <c r="D502" i="2"/>
  <c r="R502" i="2" s="1"/>
  <c r="D501" i="2"/>
  <c r="R501" i="2"/>
  <c r="D500" i="2"/>
  <c r="R500" i="2" s="1"/>
  <c r="D499" i="2"/>
  <c r="R499" i="2" s="1"/>
  <c r="D498" i="2"/>
  <c r="R498" i="2" s="1"/>
  <c r="D497" i="2"/>
  <c r="R497" i="2" s="1"/>
  <c r="D496" i="2"/>
  <c r="R496" i="2" s="1"/>
  <c r="D495" i="2"/>
  <c r="R495" i="2" s="1"/>
  <c r="D494" i="2"/>
  <c r="R494" i="2" s="1"/>
  <c r="D493" i="2"/>
  <c r="R493" i="2" s="1"/>
  <c r="D492" i="2"/>
  <c r="R492" i="2" s="1"/>
  <c r="D491" i="2"/>
  <c r="R491" i="2"/>
  <c r="D490" i="2"/>
  <c r="R490" i="2" s="1"/>
  <c r="D489" i="2"/>
  <c r="R489" i="2" s="1"/>
  <c r="D488" i="2"/>
  <c r="R488" i="2" s="1"/>
  <c r="D487" i="2"/>
  <c r="R487" i="2" s="1"/>
  <c r="D486" i="2"/>
  <c r="R486" i="2" s="1"/>
  <c r="D485" i="2"/>
  <c r="R485" i="2" s="1"/>
  <c r="D484" i="2"/>
  <c r="R484" i="2" s="1"/>
  <c r="D483" i="2"/>
  <c r="R483" i="2" s="1"/>
  <c r="D482" i="2"/>
  <c r="R482" i="2" s="1"/>
  <c r="D481" i="2"/>
  <c r="R481" i="2" s="1"/>
  <c r="D480" i="2"/>
  <c r="R480" i="2" s="1"/>
  <c r="D479" i="2"/>
  <c r="R479" i="2" s="1"/>
  <c r="D478" i="2"/>
  <c r="R478" i="2" s="1"/>
  <c r="D477" i="2"/>
  <c r="R477" i="2" s="1"/>
  <c r="D476" i="2"/>
  <c r="R476" i="2" s="1"/>
  <c r="D475" i="2"/>
  <c r="R475" i="2"/>
  <c r="D474" i="2"/>
  <c r="R474" i="2" s="1"/>
  <c r="D473" i="2"/>
  <c r="R473" i="2" s="1"/>
  <c r="D472" i="2"/>
  <c r="R472" i="2" s="1"/>
  <c r="D471" i="2"/>
  <c r="R471" i="2" s="1"/>
  <c r="D470" i="2"/>
  <c r="R470" i="2" s="1"/>
  <c r="D469" i="2"/>
  <c r="R469" i="2" s="1"/>
  <c r="D468" i="2"/>
  <c r="R468" i="2" s="1"/>
  <c r="D467" i="2"/>
  <c r="R467" i="2" s="1"/>
  <c r="D466" i="2"/>
  <c r="R466" i="2" s="1"/>
  <c r="D465" i="2"/>
  <c r="R465" i="2" s="1"/>
  <c r="D464" i="2"/>
  <c r="R464" i="2" s="1"/>
  <c r="D463" i="2"/>
  <c r="R463" i="2"/>
  <c r="D462" i="2"/>
  <c r="R462" i="2" s="1"/>
  <c r="D461" i="2"/>
  <c r="R461" i="2" s="1"/>
  <c r="D460" i="2"/>
  <c r="R460" i="2" s="1"/>
  <c r="D459" i="2"/>
  <c r="R459" i="2"/>
  <c r="D458" i="2"/>
  <c r="R458" i="2" s="1"/>
  <c r="D457" i="2"/>
  <c r="R457" i="2" s="1"/>
  <c r="D456" i="2"/>
  <c r="R456" i="2" s="1"/>
  <c r="D455" i="2"/>
  <c r="R455" i="2" s="1"/>
  <c r="D454" i="2"/>
  <c r="R454" i="2" s="1"/>
  <c r="D453" i="2"/>
  <c r="R453" i="2" s="1"/>
  <c r="D452" i="2"/>
  <c r="R452" i="2" s="1"/>
  <c r="D451" i="2"/>
  <c r="R451" i="2"/>
  <c r="D450" i="2"/>
  <c r="R450" i="2" s="1"/>
  <c r="D449" i="2"/>
  <c r="R449" i="2" s="1"/>
  <c r="D448" i="2"/>
  <c r="R448" i="2" s="1"/>
  <c r="D447" i="2"/>
  <c r="R447" i="2" s="1"/>
  <c r="D446" i="2"/>
  <c r="R446" i="2" s="1"/>
  <c r="D445" i="2"/>
  <c r="R445" i="2" s="1"/>
  <c r="D444" i="2"/>
  <c r="R444" i="2" s="1"/>
  <c r="D443" i="2"/>
  <c r="R443" i="2" s="1"/>
  <c r="D442" i="2"/>
  <c r="R442" i="2" s="1"/>
  <c r="D441" i="2"/>
  <c r="R441" i="2" s="1"/>
  <c r="D440" i="2"/>
  <c r="R440" i="2" s="1"/>
  <c r="D439" i="2"/>
  <c r="R439" i="2" s="1"/>
  <c r="D438" i="2"/>
  <c r="R438" i="2" s="1"/>
  <c r="D437" i="2"/>
  <c r="R437" i="2"/>
  <c r="D436" i="2"/>
  <c r="R436" i="2" s="1"/>
  <c r="D435" i="2"/>
  <c r="R435" i="2" s="1"/>
  <c r="D434" i="2"/>
  <c r="R434" i="2" s="1"/>
  <c r="D433" i="2"/>
  <c r="R433" i="2" s="1"/>
  <c r="D432" i="2"/>
  <c r="R432" i="2" s="1"/>
  <c r="D431" i="2"/>
  <c r="R431" i="2" s="1"/>
  <c r="D430" i="2"/>
  <c r="R430" i="2" s="1"/>
  <c r="D429" i="2"/>
  <c r="R429" i="2" s="1"/>
  <c r="D428" i="2"/>
  <c r="R428" i="2" s="1"/>
  <c r="D427" i="2"/>
  <c r="R427" i="2"/>
  <c r="D426" i="2"/>
  <c r="R426" i="2" s="1"/>
  <c r="D425" i="2"/>
  <c r="R425" i="2" s="1"/>
  <c r="D424" i="2"/>
  <c r="R424" i="2" s="1"/>
  <c r="D423" i="2"/>
  <c r="R423" i="2" s="1"/>
  <c r="D422" i="2"/>
  <c r="R422" i="2" s="1"/>
  <c r="D421" i="2"/>
  <c r="R421" i="2" s="1"/>
  <c r="D420" i="2"/>
  <c r="R420" i="2" s="1"/>
  <c r="D419" i="2"/>
  <c r="R419" i="2" s="1"/>
  <c r="D418" i="2"/>
  <c r="R418" i="2" s="1"/>
  <c r="D417" i="2"/>
  <c r="R417" i="2" s="1"/>
  <c r="D416" i="2"/>
  <c r="R416" i="2" s="1"/>
  <c r="D415" i="2"/>
  <c r="R415" i="2" s="1"/>
  <c r="D414" i="2"/>
  <c r="R414" i="2" s="1"/>
  <c r="D413" i="2"/>
  <c r="R413" i="2" s="1"/>
  <c r="D412" i="2"/>
  <c r="R412" i="2" s="1"/>
  <c r="D411" i="2"/>
  <c r="R411" i="2"/>
  <c r="D410" i="2"/>
  <c r="R410" i="2" s="1"/>
  <c r="D409" i="2"/>
  <c r="R409" i="2" s="1"/>
  <c r="D408" i="2"/>
  <c r="R408" i="2" s="1"/>
  <c r="D407" i="2"/>
  <c r="R407" i="2" s="1"/>
  <c r="D406" i="2"/>
  <c r="R406" i="2" s="1"/>
  <c r="D405" i="2"/>
  <c r="R405" i="2" s="1"/>
  <c r="D404" i="2"/>
  <c r="R404" i="2" s="1"/>
  <c r="D403" i="2"/>
  <c r="R403" i="2" s="1"/>
  <c r="D402" i="2"/>
  <c r="R402" i="2" s="1"/>
  <c r="D401" i="2"/>
  <c r="R401" i="2" s="1"/>
  <c r="D400" i="2"/>
  <c r="R400" i="2" s="1"/>
  <c r="D399" i="2"/>
  <c r="R399" i="2"/>
  <c r="D398" i="2"/>
  <c r="R398" i="2" s="1"/>
  <c r="D397" i="2"/>
  <c r="R397" i="2" s="1"/>
  <c r="D396" i="2"/>
  <c r="R396" i="2" s="1"/>
  <c r="D395" i="2"/>
  <c r="R395" i="2" s="1"/>
  <c r="D394" i="2"/>
  <c r="R394" i="2" s="1"/>
  <c r="D393" i="2"/>
  <c r="R393" i="2" s="1"/>
  <c r="D392" i="2"/>
  <c r="R392" i="2" s="1"/>
  <c r="D391" i="2"/>
  <c r="R391" i="2" s="1"/>
  <c r="D390" i="2"/>
  <c r="R390" i="2" s="1"/>
  <c r="D389" i="2"/>
  <c r="R389" i="2" s="1"/>
  <c r="D388" i="2"/>
  <c r="R388" i="2" s="1"/>
  <c r="D387" i="2"/>
  <c r="R387" i="2"/>
  <c r="D386" i="2"/>
  <c r="R386" i="2" s="1"/>
  <c r="D385" i="2"/>
  <c r="R385" i="2" s="1"/>
  <c r="D384" i="2"/>
  <c r="R384" i="2" s="1"/>
  <c r="D383" i="2"/>
  <c r="R383" i="2" s="1"/>
  <c r="D382" i="2"/>
  <c r="R382" i="2" s="1"/>
  <c r="D381" i="2"/>
  <c r="R381" i="2" s="1"/>
  <c r="D380" i="2"/>
  <c r="R380" i="2" s="1"/>
  <c r="D379" i="2"/>
  <c r="R379" i="2" s="1"/>
  <c r="D378" i="2"/>
  <c r="R378" i="2" s="1"/>
  <c r="D377" i="2"/>
  <c r="R377" i="2" s="1"/>
  <c r="D376" i="2"/>
  <c r="R376" i="2" s="1"/>
  <c r="D375" i="2"/>
  <c r="R375" i="2" s="1"/>
  <c r="D374" i="2"/>
  <c r="R374" i="2" s="1"/>
  <c r="D373" i="2"/>
  <c r="R373" i="2"/>
  <c r="D372" i="2"/>
  <c r="R372" i="2" s="1"/>
  <c r="D371" i="2"/>
  <c r="R371" i="2" s="1"/>
  <c r="D370" i="2"/>
  <c r="R370" i="2" s="1"/>
  <c r="D369" i="2"/>
  <c r="R369" i="2" s="1"/>
  <c r="D368" i="2"/>
  <c r="R368" i="2" s="1"/>
  <c r="D367" i="2"/>
  <c r="R367" i="2" s="1"/>
  <c r="D366" i="2"/>
  <c r="R366" i="2" s="1"/>
  <c r="D365" i="2"/>
  <c r="R365" i="2" s="1"/>
  <c r="D364" i="2"/>
  <c r="R364" i="2" s="1"/>
  <c r="D363" i="2"/>
  <c r="R363" i="2"/>
  <c r="D362" i="2"/>
  <c r="R362" i="2" s="1"/>
  <c r="D361" i="2"/>
  <c r="R361" i="2" s="1"/>
  <c r="D360" i="2"/>
  <c r="R360" i="2" s="1"/>
  <c r="D359" i="2"/>
  <c r="R359" i="2" s="1"/>
  <c r="D358" i="2"/>
  <c r="R358" i="2" s="1"/>
  <c r="D357" i="2"/>
  <c r="R357" i="2" s="1"/>
  <c r="D356" i="2"/>
  <c r="R356" i="2" s="1"/>
  <c r="D355" i="2"/>
  <c r="R355" i="2" s="1"/>
  <c r="D354" i="2"/>
  <c r="R354" i="2" s="1"/>
  <c r="D353" i="2"/>
  <c r="R353" i="2" s="1"/>
  <c r="D352" i="2"/>
  <c r="R352" i="2" s="1"/>
  <c r="D351" i="2"/>
  <c r="R351" i="2" s="1"/>
  <c r="D350" i="2"/>
  <c r="R350" i="2" s="1"/>
  <c r="D349" i="2"/>
  <c r="R349" i="2" s="1"/>
  <c r="D348" i="2"/>
  <c r="R348" i="2" s="1"/>
  <c r="D347" i="2"/>
  <c r="R347" i="2"/>
  <c r="D346" i="2"/>
  <c r="R346" i="2" s="1"/>
  <c r="D345" i="2"/>
  <c r="R345" i="2" s="1"/>
  <c r="D344" i="2"/>
  <c r="R344" i="2" s="1"/>
  <c r="D343" i="2"/>
  <c r="R343" i="2" s="1"/>
  <c r="D342" i="2"/>
  <c r="R342" i="2" s="1"/>
  <c r="D341" i="2"/>
  <c r="R341" i="2" s="1"/>
  <c r="D340" i="2"/>
  <c r="R340" i="2" s="1"/>
  <c r="D339" i="2"/>
  <c r="R339" i="2" s="1"/>
  <c r="D338" i="2"/>
  <c r="R338" i="2" s="1"/>
  <c r="D337" i="2"/>
  <c r="R337" i="2" s="1"/>
  <c r="D336" i="2"/>
  <c r="R336" i="2" s="1"/>
  <c r="D335" i="2"/>
  <c r="R335" i="2" s="1"/>
  <c r="D334" i="2"/>
  <c r="R334" i="2" s="1"/>
  <c r="D333" i="2"/>
  <c r="R333" i="2"/>
  <c r="D332" i="2"/>
  <c r="R332" i="2" s="1"/>
  <c r="D331" i="2"/>
  <c r="R331" i="2" s="1"/>
  <c r="D330" i="2"/>
  <c r="R330" i="2" s="1"/>
  <c r="D329" i="2"/>
  <c r="R329" i="2" s="1"/>
  <c r="D328" i="2"/>
  <c r="R328" i="2" s="1"/>
  <c r="D327" i="2"/>
  <c r="R327" i="2" s="1"/>
  <c r="D326" i="2"/>
  <c r="R326" i="2" s="1"/>
  <c r="D325" i="2"/>
  <c r="R325" i="2" s="1"/>
  <c r="D324" i="2"/>
  <c r="R324" i="2" s="1"/>
  <c r="D323" i="2"/>
  <c r="R323" i="2" s="1"/>
  <c r="D322" i="2"/>
  <c r="R322" i="2" s="1"/>
  <c r="D321" i="2"/>
  <c r="R321" i="2" s="1"/>
  <c r="D320" i="2"/>
  <c r="R320" i="2" s="1"/>
  <c r="D319" i="2"/>
  <c r="R319" i="2" s="1"/>
  <c r="D318" i="2"/>
  <c r="R318" i="2" s="1"/>
  <c r="D317" i="2"/>
  <c r="R317" i="2"/>
  <c r="D316" i="2"/>
  <c r="R316" i="2" s="1"/>
  <c r="D315" i="2"/>
  <c r="R315" i="2" s="1"/>
  <c r="D314" i="2"/>
  <c r="R314" i="2" s="1"/>
  <c r="D313" i="2"/>
  <c r="R313" i="2" s="1"/>
  <c r="D312" i="2"/>
  <c r="R312" i="2" s="1"/>
  <c r="D311" i="2"/>
  <c r="R311" i="2" s="1"/>
  <c r="D310" i="2"/>
  <c r="R310" i="2" s="1"/>
  <c r="D309" i="2"/>
  <c r="R309" i="2" s="1"/>
  <c r="D308" i="2"/>
  <c r="R308" i="2" s="1"/>
  <c r="D307" i="2"/>
  <c r="R307" i="2" s="1"/>
  <c r="D306" i="2"/>
  <c r="R306" i="2" s="1"/>
  <c r="D305" i="2"/>
  <c r="R305" i="2" s="1"/>
  <c r="D304" i="2"/>
  <c r="R304" i="2" s="1"/>
  <c r="D303" i="2"/>
  <c r="R303" i="2" s="1"/>
  <c r="D302" i="2"/>
  <c r="R302" i="2" s="1"/>
  <c r="D301" i="2"/>
  <c r="R301" i="2"/>
  <c r="D300" i="2"/>
  <c r="R300" i="2" s="1"/>
  <c r="D299" i="2"/>
  <c r="R299" i="2" s="1"/>
  <c r="D298" i="2"/>
  <c r="R298" i="2" s="1"/>
  <c r="D297" i="2"/>
  <c r="R297" i="2" s="1"/>
  <c r="D296" i="2"/>
  <c r="R296" i="2" s="1"/>
  <c r="D295" i="2"/>
  <c r="R295" i="2" s="1"/>
  <c r="D294" i="2"/>
  <c r="R294" i="2" s="1"/>
  <c r="D293" i="2"/>
  <c r="R293" i="2" s="1"/>
  <c r="D292" i="2"/>
  <c r="R292" i="2" s="1"/>
  <c r="D291" i="2"/>
  <c r="R291" i="2" s="1"/>
  <c r="D290" i="2"/>
  <c r="R290" i="2" s="1"/>
  <c r="D289" i="2"/>
  <c r="R289" i="2" s="1"/>
  <c r="D288" i="2"/>
  <c r="R288" i="2" s="1"/>
  <c r="D287" i="2"/>
  <c r="R287" i="2" s="1"/>
  <c r="D286" i="2"/>
  <c r="R286" i="2" s="1"/>
  <c r="D285" i="2"/>
  <c r="R285" i="2"/>
  <c r="D284" i="2"/>
  <c r="R284" i="2" s="1"/>
  <c r="D283" i="2"/>
  <c r="R283" i="2" s="1"/>
  <c r="D282" i="2"/>
  <c r="R282" i="2" s="1"/>
  <c r="D281" i="2"/>
  <c r="R281" i="2" s="1"/>
  <c r="D280" i="2"/>
  <c r="R280" i="2" s="1"/>
  <c r="D279" i="2"/>
  <c r="R279" i="2" s="1"/>
  <c r="D278" i="2"/>
  <c r="R278" i="2" s="1"/>
  <c r="D277" i="2"/>
  <c r="R277" i="2" s="1"/>
  <c r="D276" i="2"/>
  <c r="R276" i="2" s="1"/>
  <c r="D275" i="2"/>
  <c r="R275" i="2" s="1"/>
  <c r="D274" i="2"/>
  <c r="R274" i="2" s="1"/>
  <c r="D273" i="2"/>
  <c r="R273" i="2" s="1"/>
  <c r="D272" i="2"/>
  <c r="R272" i="2" s="1"/>
  <c r="D271" i="2"/>
  <c r="R271" i="2" s="1"/>
  <c r="D270" i="2"/>
  <c r="R270" i="2" s="1"/>
  <c r="D269" i="2"/>
  <c r="R269" i="2"/>
  <c r="D268" i="2"/>
  <c r="R268" i="2" s="1"/>
  <c r="D267" i="2"/>
  <c r="R267" i="2" s="1"/>
  <c r="D266" i="2"/>
  <c r="R266" i="2" s="1"/>
  <c r="D265" i="2"/>
  <c r="R265" i="2" s="1"/>
  <c r="D264" i="2"/>
  <c r="R264" i="2" s="1"/>
  <c r="D263" i="2"/>
  <c r="R263" i="2" s="1"/>
  <c r="D262" i="2"/>
  <c r="R262" i="2" s="1"/>
  <c r="D261" i="2"/>
  <c r="R261" i="2" s="1"/>
  <c r="D260" i="2"/>
  <c r="R260" i="2" s="1"/>
  <c r="D259" i="2"/>
  <c r="R259" i="2" s="1"/>
  <c r="D258" i="2"/>
  <c r="R258" i="2" s="1"/>
  <c r="D257" i="2"/>
  <c r="R257" i="2" s="1"/>
  <c r="D256" i="2"/>
  <c r="R256" i="2" s="1"/>
  <c r="D255" i="2"/>
  <c r="R255" i="2" s="1"/>
  <c r="D254" i="2"/>
  <c r="R254" i="2" s="1"/>
  <c r="D253" i="2"/>
  <c r="R253" i="2"/>
  <c r="D252" i="2"/>
  <c r="R252" i="2" s="1"/>
  <c r="D251" i="2"/>
  <c r="R251" i="2" s="1"/>
  <c r="D250" i="2"/>
  <c r="R250" i="2" s="1"/>
  <c r="D249" i="2"/>
  <c r="R249" i="2" s="1"/>
  <c r="D248" i="2"/>
  <c r="R248" i="2" s="1"/>
  <c r="D247" i="2"/>
  <c r="R247" i="2" s="1"/>
  <c r="D246" i="2"/>
  <c r="R246" i="2" s="1"/>
  <c r="D245" i="2"/>
  <c r="R245" i="2" s="1"/>
  <c r="D244" i="2"/>
  <c r="R244" i="2" s="1"/>
  <c r="D243" i="2"/>
  <c r="R243" i="2" s="1"/>
  <c r="D242" i="2"/>
  <c r="R242" i="2" s="1"/>
  <c r="D241" i="2"/>
  <c r="R241" i="2" s="1"/>
  <c r="D240" i="2"/>
  <c r="R240" i="2" s="1"/>
  <c r="D239" i="2"/>
  <c r="R239" i="2" s="1"/>
  <c r="D238" i="2"/>
  <c r="R238" i="2" s="1"/>
  <c r="D237" i="2"/>
  <c r="R237" i="2"/>
  <c r="D236" i="2"/>
  <c r="R236" i="2" s="1"/>
  <c r="D235" i="2"/>
  <c r="R235" i="2" s="1"/>
  <c r="D234" i="2"/>
  <c r="R234" i="2" s="1"/>
  <c r="D233" i="2"/>
  <c r="R233" i="2" s="1"/>
  <c r="D232" i="2"/>
  <c r="R232" i="2" s="1"/>
  <c r="D231" i="2"/>
  <c r="R231" i="2" s="1"/>
  <c r="D230" i="2"/>
  <c r="R230" i="2" s="1"/>
  <c r="D229" i="2"/>
  <c r="R229" i="2" s="1"/>
  <c r="D228" i="2"/>
  <c r="R228" i="2" s="1"/>
  <c r="D227" i="2"/>
  <c r="R227" i="2" s="1"/>
  <c r="D226" i="2"/>
  <c r="R226" i="2" s="1"/>
  <c r="D225" i="2"/>
  <c r="R225" i="2" s="1"/>
  <c r="D224" i="2"/>
  <c r="R224" i="2" s="1"/>
  <c r="D223" i="2"/>
  <c r="R223" i="2" s="1"/>
  <c r="D222" i="2"/>
  <c r="R222" i="2" s="1"/>
  <c r="D221" i="2"/>
  <c r="R221" i="2"/>
  <c r="D220" i="2"/>
  <c r="R220" i="2" s="1"/>
  <c r="D219" i="2"/>
  <c r="R219" i="2" s="1"/>
  <c r="D218" i="2"/>
  <c r="R218" i="2" s="1"/>
  <c r="D217" i="2"/>
  <c r="R217" i="2" s="1"/>
  <c r="D216" i="2"/>
  <c r="R216" i="2" s="1"/>
  <c r="D215" i="2"/>
  <c r="R215" i="2" s="1"/>
  <c r="D214" i="2"/>
  <c r="R214" i="2" s="1"/>
  <c r="D213" i="2"/>
  <c r="R213" i="2" s="1"/>
  <c r="D212" i="2"/>
  <c r="R212" i="2" s="1"/>
  <c r="D211" i="2"/>
  <c r="R211" i="2" s="1"/>
  <c r="D210" i="2"/>
  <c r="R210" i="2" s="1"/>
  <c r="D209" i="2"/>
  <c r="R209" i="2" s="1"/>
  <c r="D208" i="2"/>
  <c r="R208" i="2" s="1"/>
  <c r="D207" i="2"/>
  <c r="R207" i="2" s="1"/>
  <c r="D206" i="2"/>
  <c r="R206" i="2" s="1"/>
  <c r="D205" i="2"/>
  <c r="R205" i="2"/>
  <c r="D204" i="2"/>
  <c r="R204" i="2" s="1"/>
  <c r="D203" i="2"/>
  <c r="R203" i="2" s="1"/>
  <c r="D202" i="2"/>
  <c r="R202" i="2" s="1"/>
  <c r="D201" i="2"/>
  <c r="R201" i="2" s="1"/>
  <c r="D200" i="2"/>
  <c r="R200" i="2" s="1"/>
  <c r="D199" i="2"/>
  <c r="R199" i="2" s="1"/>
  <c r="D198" i="2"/>
  <c r="R198" i="2" s="1"/>
  <c r="D197" i="2"/>
  <c r="R197" i="2" s="1"/>
  <c r="D196" i="2"/>
  <c r="R196" i="2" s="1"/>
  <c r="D195" i="2"/>
  <c r="R195" i="2" s="1"/>
  <c r="D194" i="2"/>
  <c r="R194" i="2" s="1"/>
  <c r="D193" i="2"/>
  <c r="R193" i="2" s="1"/>
  <c r="D192" i="2"/>
  <c r="R192" i="2" s="1"/>
  <c r="D191" i="2"/>
  <c r="R191" i="2" s="1"/>
  <c r="D190" i="2"/>
  <c r="R190" i="2" s="1"/>
  <c r="D189" i="2"/>
  <c r="R189" i="2"/>
  <c r="D188" i="2"/>
  <c r="R188" i="2" s="1"/>
  <c r="D187" i="2"/>
  <c r="R187" i="2" s="1"/>
  <c r="D186" i="2"/>
  <c r="R186" i="2" s="1"/>
  <c r="D185" i="2"/>
  <c r="R185" i="2" s="1"/>
  <c r="D184" i="2"/>
  <c r="R184" i="2" s="1"/>
  <c r="D183" i="2"/>
  <c r="R183" i="2" s="1"/>
  <c r="D182" i="2"/>
  <c r="R182" i="2" s="1"/>
  <c r="D181" i="2"/>
  <c r="R181" i="2" s="1"/>
  <c r="D180" i="2"/>
  <c r="R180" i="2" s="1"/>
  <c r="D179" i="2"/>
  <c r="R179" i="2" s="1"/>
  <c r="D178" i="2"/>
  <c r="R178" i="2" s="1"/>
  <c r="D177" i="2"/>
  <c r="R177" i="2" s="1"/>
  <c r="D176" i="2"/>
  <c r="R176" i="2" s="1"/>
  <c r="D175" i="2"/>
  <c r="R175" i="2" s="1"/>
  <c r="D174" i="2"/>
  <c r="R174" i="2" s="1"/>
  <c r="D173" i="2"/>
  <c r="R173" i="2"/>
  <c r="D172" i="2"/>
  <c r="R172" i="2" s="1"/>
  <c r="D171" i="2"/>
  <c r="R171" i="2" s="1"/>
  <c r="D170" i="2"/>
  <c r="R170" i="2" s="1"/>
  <c r="D169" i="2"/>
  <c r="R169" i="2" s="1"/>
  <c r="D168" i="2"/>
  <c r="R168" i="2" s="1"/>
  <c r="D167" i="2"/>
  <c r="R167" i="2" s="1"/>
  <c r="D166" i="2"/>
  <c r="R166" i="2" s="1"/>
  <c r="D165" i="2"/>
  <c r="R165" i="2" s="1"/>
  <c r="D164" i="2"/>
  <c r="R164" i="2" s="1"/>
  <c r="D163" i="2"/>
  <c r="R163" i="2" s="1"/>
  <c r="D162" i="2"/>
  <c r="R162" i="2" s="1"/>
  <c r="D161" i="2"/>
  <c r="R161" i="2" s="1"/>
  <c r="D160" i="2"/>
  <c r="R160" i="2" s="1"/>
  <c r="D159" i="2"/>
  <c r="R159" i="2" s="1"/>
  <c r="D158" i="2"/>
  <c r="R158" i="2" s="1"/>
  <c r="D157" i="2"/>
  <c r="R157" i="2"/>
  <c r="D156" i="2"/>
  <c r="R156" i="2" s="1"/>
  <c r="D155" i="2"/>
  <c r="R155" i="2" s="1"/>
  <c r="D154" i="2"/>
  <c r="R154" i="2" s="1"/>
  <c r="D153" i="2"/>
  <c r="R153" i="2" s="1"/>
  <c r="D152" i="2"/>
  <c r="R152" i="2" s="1"/>
  <c r="D151" i="2"/>
  <c r="R151" i="2" s="1"/>
  <c r="D150" i="2"/>
  <c r="R150" i="2" s="1"/>
  <c r="D149" i="2"/>
  <c r="R149" i="2" s="1"/>
  <c r="D148" i="2"/>
  <c r="R148" i="2" s="1"/>
  <c r="D147" i="2"/>
  <c r="R147" i="2" s="1"/>
  <c r="D146" i="2"/>
  <c r="R146" i="2" s="1"/>
  <c r="D145" i="2"/>
  <c r="R145" i="2" s="1"/>
  <c r="D144" i="2"/>
  <c r="R144" i="2" s="1"/>
  <c r="D143" i="2"/>
  <c r="R143" i="2"/>
  <c r="D142" i="2"/>
  <c r="R142" i="2" s="1"/>
  <c r="D141" i="2"/>
  <c r="R141" i="2" s="1"/>
  <c r="D140" i="2"/>
  <c r="R140" i="2" s="1"/>
  <c r="D139" i="2"/>
  <c r="R139" i="2" s="1"/>
  <c r="D138" i="2"/>
  <c r="R138" i="2" s="1"/>
  <c r="D137" i="2"/>
  <c r="R137" i="2" s="1"/>
  <c r="D136" i="2"/>
  <c r="R136" i="2" s="1"/>
  <c r="D135" i="2"/>
  <c r="R135" i="2" s="1"/>
  <c r="D134" i="2"/>
  <c r="R134" i="2" s="1"/>
  <c r="D133" i="2"/>
  <c r="R133" i="2"/>
  <c r="D132" i="2"/>
  <c r="R132" i="2" s="1"/>
  <c r="D131" i="2"/>
  <c r="R131" i="2" s="1"/>
  <c r="D130" i="2"/>
  <c r="R130" i="2" s="1"/>
  <c r="D129" i="2"/>
  <c r="R129" i="2" s="1"/>
  <c r="D128" i="2"/>
  <c r="R128" i="2" s="1"/>
  <c r="D127" i="2"/>
  <c r="R127" i="2" s="1"/>
  <c r="D126" i="2"/>
  <c r="R126" i="2" s="1"/>
  <c r="D125" i="2"/>
  <c r="R125" i="2" s="1"/>
  <c r="D124" i="2"/>
  <c r="R124" i="2" s="1"/>
  <c r="D123" i="2"/>
  <c r="R123" i="2"/>
  <c r="D122" i="2"/>
  <c r="R122" i="2" s="1"/>
  <c r="D121" i="2"/>
  <c r="R121" i="2" s="1"/>
  <c r="D120" i="2"/>
  <c r="R120" i="2" s="1"/>
  <c r="D119" i="2"/>
  <c r="R119" i="2" s="1"/>
  <c r="D118" i="2"/>
  <c r="R118" i="2" s="1"/>
  <c r="D117" i="2"/>
  <c r="R117" i="2" s="1"/>
  <c r="D116" i="2"/>
  <c r="R116" i="2" s="1"/>
  <c r="D115" i="2"/>
  <c r="R115" i="2" s="1"/>
  <c r="D114" i="2"/>
  <c r="R114" i="2" s="1"/>
  <c r="D113" i="2"/>
  <c r="R113" i="2" s="1"/>
  <c r="D112" i="2"/>
  <c r="R112" i="2" s="1"/>
  <c r="D111" i="2"/>
  <c r="R111" i="2"/>
  <c r="D110" i="2"/>
  <c r="R110" i="2" s="1"/>
  <c r="D109" i="2"/>
  <c r="R109" i="2" s="1"/>
  <c r="D108" i="2"/>
  <c r="R108" i="2" s="1"/>
  <c r="D107" i="2"/>
  <c r="R107" i="2" s="1"/>
  <c r="D106" i="2"/>
  <c r="R106" i="2" s="1"/>
  <c r="D105" i="2"/>
  <c r="R105" i="2" s="1"/>
  <c r="D104" i="2"/>
  <c r="R104" i="2" s="1"/>
  <c r="D103" i="2"/>
  <c r="R103" i="2" s="1"/>
  <c r="D102" i="2"/>
  <c r="R102" i="2" s="1"/>
  <c r="D101" i="2"/>
  <c r="R101" i="2"/>
  <c r="D100" i="2"/>
  <c r="R100" i="2" s="1"/>
  <c r="D99" i="2"/>
  <c r="R99" i="2" s="1"/>
  <c r="D98" i="2"/>
  <c r="R98" i="2" s="1"/>
  <c r="D97" i="2"/>
  <c r="R97" i="2" s="1"/>
  <c r="D96" i="2"/>
  <c r="R96" i="2" s="1"/>
  <c r="D95" i="2"/>
  <c r="R95" i="2" s="1"/>
  <c r="D94" i="2"/>
  <c r="R94" i="2" s="1"/>
  <c r="D93" i="2"/>
  <c r="R93" i="2" s="1"/>
  <c r="D92" i="2"/>
  <c r="R92" i="2" s="1"/>
  <c r="D91" i="2"/>
  <c r="R91" i="2"/>
  <c r="D90" i="2"/>
  <c r="R90" i="2" s="1"/>
  <c r="D89" i="2"/>
  <c r="R89" i="2" s="1"/>
  <c r="D88" i="2"/>
  <c r="R88" i="2" s="1"/>
  <c r="D87" i="2"/>
  <c r="R87" i="2" s="1"/>
  <c r="D86" i="2"/>
  <c r="R86" i="2" s="1"/>
  <c r="D85" i="2"/>
  <c r="R85" i="2" s="1"/>
  <c r="D84" i="2"/>
  <c r="R84" i="2" s="1"/>
  <c r="D83" i="2"/>
  <c r="R83" i="2" s="1"/>
  <c r="D82" i="2"/>
  <c r="R82" i="2" s="1"/>
  <c r="D81" i="2"/>
  <c r="R81" i="2" s="1"/>
  <c r="D80" i="2"/>
  <c r="R80" i="2" s="1"/>
  <c r="D79" i="2"/>
  <c r="R79" i="2"/>
  <c r="D78" i="2"/>
  <c r="R78" i="2" s="1"/>
  <c r="D77" i="2"/>
  <c r="R77" i="2" s="1"/>
  <c r="D76" i="2"/>
  <c r="R76" i="2" s="1"/>
  <c r="D75" i="2"/>
  <c r="R75" i="2" s="1"/>
  <c r="D74" i="2"/>
  <c r="R74" i="2" s="1"/>
  <c r="D73" i="2"/>
  <c r="R73" i="2" s="1"/>
  <c r="D72" i="2"/>
  <c r="R72" i="2" s="1"/>
  <c r="D71" i="2"/>
  <c r="R71" i="2" s="1"/>
  <c r="D70" i="2"/>
  <c r="R70" i="2" s="1"/>
  <c r="D69" i="2"/>
  <c r="R69" i="2"/>
  <c r="D68" i="2"/>
  <c r="R68" i="2" s="1"/>
  <c r="D67" i="2"/>
  <c r="R67" i="2" s="1"/>
  <c r="D66" i="2"/>
  <c r="R66" i="2" s="1"/>
  <c r="D65" i="2"/>
  <c r="R65" i="2" s="1"/>
  <c r="D64" i="2"/>
  <c r="R64" i="2" s="1"/>
  <c r="D63" i="2"/>
  <c r="R63" i="2" s="1"/>
  <c r="D62" i="2"/>
  <c r="R62" i="2" s="1"/>
  <c r="D61" i="2"/>
  <c r="R61" i="2" s="1"/>
  <c r="D60" i="2"/>
  <c r="R60" i="2" s="1"/>
  <c r="D59" i="2"/>
  <c r="R59" i="2"/>
  <c r="D58" i="2"/>
  <c r="R58" i="2" s="1"/>
  <c r="D57" i="2"/>
  <c r="R57" i="2" s="1"/>
  <c r="D56" i="2"/>
  <c r="R56" i="2" s="1"/>
  <c r="D55" i="2"/>
  <c r="R55" i="2" s="1"/>
  <c r="D54" i="2"/>
  <c r="R54" i="2" s="1"/>
  <c r="D53" i="2"/>
  <c r="R53" i="2" s="1"/>
  <c r="D52" i="2"/>
  <c r="R52" i="2" s="1"/>
  <c r="D51" i="2"/>
  <c r="R51" i="2" s="1"/>
  <c r="D50" i="2"/>
  <c r="R50" i="2" s="1"/>
  <c r="D49" i="2"/>
  <c r="R49" i="2" s="1"/>
  <c r="D48" i="2"/>
  <c r="R48" i="2" s="1"/>
  <c r="D47" i="2"/>
  <c r="R47" i="2"/>
  <c r="D46" i="2"/>
  <c r="R46" i="2" s="1"/>
  <c r="D45" i="2"/>
  <c r="R45" i="2" s="1"/>
  <c r="D44" i="2"/>
  <c r="R44" i="2" s="1"/>
  <c r="D43" i="2"/>
  <c r="R43" i="2" s="1"/>
  <c r="D42" i="2"/>
  <c r="R42" i="2" s="1"/>
  <c r="D41" i="2"/>
  <c r="R41" i="2" s="1"/>
  <c r="D40" i="2"/>
  <c r="R40" i="2" s="1"/>
  <c r="D39" i="2"/>
  <c r="R39" i="2" s="1"/>
  <c r="D38" i="2"/>
  <c r="R38" i="2" s="1"/>
  <c r="D37" i="2"/>
  <c r="R37" i="2" s="1"/>
  <c r="D36" i="2"/>
  <c r="R36" i="2" s="1"/>
  <c r="D35" i="2"/>
  <c r="R35" i="2" s="1"/>
  <c r="D34" i="2"/>
  <c r="R34" i="2" s="1"/>
  <c r="D33" i="2"/>
  <c r="R33" i="2" s="1"/>
  <c r="D32" i="2"/>
  <c r="R32" i="2" s="1"/>
  <c r="D31" i="2"/>
  <c r="R31" i="2" s="1"/>
  <c r="D30" i="2"/>
  <c r="R30" i="2" s="1"/>
  <c r="D29" i="2"/>
  <c r="R29" i="2" s="1"/>
  <c r="D28" i="2"/>
  <c r="R28" i="2" s="1"/>
  <c r="D27" i="2"/>
  <c r="R27" i="2" s="1"/>
  <c r="D26" i="2"/>
  <c r="R26" i="2" s="1"/>
  <c r="D25" i="2"/>
  <c r="R25" i="2" s="1"/>
  <c r="D24" i="2"/>
  <c r="R24" i="2" s="1"/>
  <c r="D23" i="2"/>
  <c r="R23" i="2" s="1"/>
  <c r="D22" i="2"/>
  <c r="R22" i="2" s="1"/>
  <c r="D21" i="2"/>
  <c r="R21" i="2" s="1"/>
  <c r="D20" i="2"/>
  <c r="R20" i="2" s="1"/>
  <c r="D19" i="2"/>
  <c r="R19" i="2" s="1"/>
  <c r="D18" i="2"/>
  <c r="R18" i="2" s="1"/>
  <c r="D17" i="2"/>
  <c r="R17" i="2" s="1"/>
  <c r="D16" i="2"/>
  <c r="R16" i="2" s="1"/>
  <c r="D15" i="2"/>
  <c r="R15" i="2" s="1"/>
  <c r="D14" i="2"/>
  <c r="R14" i="2" s="1"/>
  <c r="D13" i="2"/>
  <c r="R13" i="2" s="1"/>
  <c r="D12" i="2"/>
  <c r="R12" i="2" s="1"/>
  <c r="D11" i="2"/>
  <c r="R11" i="2" s="1"/>
  <c r="D10" i="2"/>
  <c r="R10" i="2" s="1"/>
  <c r="D9" i="2"/>
  <c r="R9" i="2" s="1"/>
  <c r="D8" i="2"/>
  <c r="R8" i="2" s="1"/>
  <c r="D7" i="2"/>
  <c r="R7" i="2" s="1"/>
  <c r="D6" i="2"/>
  <c r="R6" i="2" s="1"/>
  <c r="D5" i="2"/>
  <c r="R5" i="2" s="1"/>
  <c r="S504" i="2"/>
  <c r="S503" i="2"/>
  <c r="S502" i="2"/>
  <c r="S501" i="2"/>
  <c r="S500" i="2"/>
  <c r="S499" i="2"/>
  <c r="S498" i="2"/>
  <c r="S497" i="2"/>
  <c r="S496" i="2"/>
  <c r="S495" i="2"/>
  <c r="S494" i="2"/>
  <c r="S493" i="2"/>
  <c r="S492" i="2"/>
  <c r="S491" i="2"/>
  <c r="S490" i="2"/>
  <c r="S489" i="2"/>
  <c r="S488" i="2"/>
  <c r="S487" i="2"/>
  <c r="S486" i="2"/>
  <c r="S485" i="2"/>
  <c r="S484" i="2"/>
  <c r="S483" i="2"/>
  <c r="S482" i="2"/>
  <c r="S481" i="2"/>
  <c r="S480" i="2"/>
  <c r="S479" i="2"/>
  <c r="S478" i="2"/>
  <c r="S477" i="2"/>
  <c r="S476" i="2"/>
  <c r="S475" i="2"/>
  <c r="S474" i="2"/>
  <c r="S473" i="2"/>
  <c r="S472" i="2"/>
  <c r="S471" i="2"/>
  <c r="S470" i="2"/>
  <c r="S469" i="2"/>
  <c r="S468" i="2"/>
  <c r="S467" i="2"/>
  <c r="S466" i="2"/>
  <c r="S465" i="2"/>
  <c r="S464" i="2"/>
  <c r="S463" i="2"/>
  <c r="S462" i="2"/>
  <c r="S461" i="2"/>
  <c r="S460" i="2"/>
  <c r="S459" i="2"/>
  <c r="S458" i="2"/>
  <c r="S457" i="2"/>
  <c r="S456" i="2"/>
  <c r="S455" i="2"/>
  <c r="S454" i="2"/>
  <c r="S453" i="2"/>
  <c r="S452" i="2"/>
  <c r="S451" i="2"/>
  <c r="S450" i="2"/>
  <c r="S449" i="2"/>
  <c r="S448" i="2"/>
  <c r="S447" i="2"/>
  <c r="S446" i="2"/>
  <c r="S445" i="2"/>
  <c r="S444" i="2"/>
  <c r="S443" i="2"/>
  <c r="S442" i="2"/>
  <c r="S441" i="2"/>
  <c r="S440" i="2"/>
  <c r="S439" i="2"/>
  <c r="S438" i="2"/>
  <c r="S437" i="2"/>
  <c r="S436" i="2"/>
  <c r="S435" i="2"/>
  <c r="S434" i="2"/>
  <c r="S433" i="2"/>
  <c r="S432" i="2"/>
  <c r="S431" i="2"/>
  <c r="S430" i="2"/>
  <c r="S429" i="2"/>
  <c r="S428" i="2"/>
  <c r="S427" i="2"/>
  <c r="S426" i="2"/>
  <c r="S425" i="2"/>
  <c r="S424" i="2"/>
  <c r="S423" i="2"/>
  <c r="S422" i="2"/>
  <c r="S421" i="2"/>
  <c r="S420" i="2"/>
  <c r="S419" i="2"/>
  <c r="S418" i="2"/>
  <c r="S417" i="2"/>
  <c r="S416" i="2"/>
  <c r="S415" i="2"/>
  <c r="S414" i="2"/>
  <c r="S413" i="2"/>
  <c r="S412" i="2"/>
  <c r="S411" i="2"/>
  <c r="S410" i="2"/>
  <c r="S409" i="2"/>
  <c r="S408" i="2"/>
  <c r="S407" i="2"/>
  <c r="S406" i="2"/>
  <c r="S405" i="2"/>
  <c r="S404" i="2"/>
  <c r="S403" i="2"/>
  <c r="S402" i="2"/>
  <c r="S401" i="2"/>
  <c r="S400" i="2"/>
  <c r="S399" i="2"/>
  <c r="S398" i="2"/>
  <c r="S397" i="2"/>
  <c r="S396" i="2"/>
  <c r="S395" i="2"/>
  <c r="S394" i="2"/>
  <c r="S393" i="2"/>
  <c r="S392" i="2"/>
  <c r="S391" i="2"/>
  <c r="S390" i="2"/>
  <c r="S389" i="2"/>
  <c r="S388" i="2"/>
  <c r="S387" i="2"/>
  <c r="S386" i="2"/>
  <c r="S385" i="2"/>
  <c r="S384" i="2"/>
  <c r="S383" i="2"/>
  <c r="S382" i="2"/>
  <c r="S381" i="2"/>
  <c r="S380" i="2"/>
  <c r="S379" i="2"/>
  <c r="S378" i="2"/>
  <c r="S377" i="2"/>
  <c r="S376" i="2"/>
  <c r="S375" i="2"/>
  <c r="S374" i="2"/>
  <c r="S373" i="2"/>
  <c r="S372" i="2"/>
  <c r="S371" i="2"/>
  <c r="S370" i="2"/>
  <c r="S369" i="2"/>
  <c r="S368" i="2"/>
  <c r="S367" i="2"/>
  <c r="S366" i="2"/>
  <c r="S365" i="2"/>
  <c r="S364" i="2"/>
  <c r="S363" i="2"/>
  <c r="S362" i="2"/>
  <c r="S361" i="2"/>
  <c r="S360" i="2"/>
  <c r="S359" i="2"/>
  <c r="S358" i="2"/>
  <c r="S357" i="2"/>
  <c r="S356" i="2"/>
  <c r="S355" i="2"/>
  <c r="S354" i="2"/>
  <c r="S353" i="2"/>
  <c r="S352" i="2"/>
  <c r="S351" i="2"/>
  <c r="S350" i="2"/>
  <c r="S349" i="2"/>
  <c r="S348" i="2"/>
  <c r="S347" i="2"/>
  <c r="S346" i="2"/>
  <c r="S345" i="2"/>
  <c r="S344" i="2"/>
  <c r="S343" i="2"/>
  <c r="S342" i="2"/>
  <c r="S341" i="2"/>
  <c r="S340" i="2"/>
  <c r="S339" i="2"/>
  <c r="S338" i="2"/>
  <c r="S337" i="2"/>
  <c r="S336" i="2"/>
  <c r="S335" i="2"/>
  <c r="S334" i="2"/>
  <c r="S333" i="2"/>
  <c r="S332" i="2"/>
  <c r="S331" i="2"/>
  <c r="S330" i="2"/>
  <c r="S329" i="2"/>
  <c r="S328" i="2"/>
  <c r="S327" i="2"/>
  <c r="S326" i="2"/>
  <c r="S325" i="2"/>
  <c r="S324" i="2"/>
  <c r="S323" i="2"/>
  <c r="S322" i="2"/>
  <c r="S321" i="2"/>
  <c r="S320" i="2"/>
  <c r="S319" i="2"/>
  <c r="S318" i="2"/>
  <c r="S317" i="2"/>
  <c r="S316" i="2"/>
  <c r="S315" i="2"/>
  <c r="S314" i="2"/>
  <c r="S313" i="2"/>
  <c r="S312" i="2"/>
  <c r="S311" i="2"/>
  <c r="S310" i="2"/>
  <c r="S309" i="2"/>
  <c r="S308" i="2"/>
  <c r="S307" i="2"/>
  <c r="S306" i="2"/>
  <c r="S305" i="2"/>
  <c r="S304" i="2"/>
  <c r="S303" i="2"/>
  <c r="S302" i="2"/>
  <c r="S301" i="2"/>
  <c r="S300" i="2"/>
  <c r="S299" i="2"/>
  <c r="S298" i="2"/>
  <c r="S297" i="2"/>
  <c r="S296" i="2"/>
  <c r="S295" i="2"/>
  <c r="S294" i="2"/>
  <c r="S293" i="2"/>
  <c r="S292" i="2"/>
  <c r="S291" i="2"/>
  <c r="S290" i="2"/>
  <c r="S289" i="2"/>
  <c r="S288" i="2"/>
  <c r="S287" i="2"/>
  <c r="S286" i="2"/>
  <c r="S285" i="2"/>
  <c r="S284" i="2"/>
  <c r="S283" i="2"/>
  <c r="S282" i="2"/>
  <c r="S281" i="2"/>
  <c r="S280" i="2"/>
  <c r="S279" i="2"/>
  <c r="S278" i="2"/>
  <c r="S277" i="2"/>
  <c r="S276" i="2"/>
  <c r="S275" i="2"/>
  <c r="S274" i="2"/>
  <c r="S273" i="2"/>
  <c r="S272" i="2"/>
  <c r="S271" i="2"/>
  <c r="S270" i="2"/>
  <c r="S269" i="2"/>
  <c r="S268" i="2"/>
  <c r="S267" i="2"/>
  <c r="S266" i="2"/>
  <c r="S265" i="2"/>
  <c r="S264" i="2"/>
  <c r="S263" i="2"/>
  <c r="S262" i="2"/>
  <c r="S261" i="2"/>
  <c r="S260" i="2"/>
  <c r="S259" i="2"/>
  <c r="S258" i="2"/>
  <c r="S257" i="2"/>
  <c r="S256" i="2"/>
  <c r="S255" i="2"/>
  <c r="S254" i="2"/>
  <c r="S253" i="2"/>
  <c r="S252" i="2"/>
  <c r="S251" i="2"/>
  <c r="S250" i="2"/>
  <c r="S249" i="2"/>
  <c r="S248" i="2"/>
  <c r="S247" i="2"/>
  <c r="S246" i="2"/>
  <c r="S245" i="2"/>
  <c r="S244" i="2"/>
  <c r="S243" i="2"/>
  <c r="S242" i="2"/>
  <c r="S241" i="2"/>
  <c r="S240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S227" i="2"/>
  <c r="S226" i="2"/>
  <c r="S225" i="2"/>
  <c r="S224" i="2"/>
  <c r="S223" i="2"/>
  <c r="S222" i="2"/>
  <c r="S221" i="2"/>
  <c r="S220" i="2"/>
  <c r="S219" i="2"/>
  <c r="S218" i="2"/>
  <c r="S217" i="2"/>
  <c r="S216" i="2"/>
  <c r="S215" i="2"/>
  <c r="S214" i="2"/>
  <c r="S213" i="2"/>
  <c r="S212" i="2"/>
  <c r="S211" i="2"/>
  <c r="S210" i="2"/>
  <c r="S209" i="2"/>
  <c r="S208" i="2"/>
  <c r="S207" i="2"/>
  <c r="S206" i="2"/>
  <c r="S205" i="2"/>
  <c r="S204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S191" i="2"/>
  <c r="S190" i="2"/>
  <c r="S189" i="2"/>
  <c r="S188" i="2"/>
  <c r="S187" i="2"/>
  <c r="S186" i="2"/>
  <c r="S185" i="2"/>
  <c r="S184" i="2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9" i="2"/>
  <c r="S158" i="2"/>
  <c r="S157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504" i="5"/>
  <c r="S503" i="5"/>
  <c r="S502" i="5"/>
  <c r="S501" i="5"/>
  <c r="S500" i="5"/>
  <c r="S499" i="5"/>
  <c r="S498" i="5"/>
  <c r="S497" i="5"/>
  <c r="S496" i="5"/>
  <c r="S495" i="5"/>
  <c r="S494" i="5"/>
  <c r="S493" i="5"/>
  <c r="S492" i="5"/>
  <c r="S491" i="5"/>
  <c r="S490" i="5"/>
  <c r="S489" i="5"/>
  <c r="S488" i="5"/>
  <c r="S487" i="5"/>
  <c r="S486" i="5"/>
  <c r="S485" i="5"/>
  <c r="S484" i="5"/>
  <c r="S483" i="5"/>
  <c r="S482" i="5"/>
  <c r="S481" i="5"/>
  <c r="S480" i="5"/>
  <c r="S479" i="5"/>
  <c r="S478" i="5"/>
  <c r="S477" i="5"/>
  <c r="S476" i="5"/>
  <c r="S475" i="5"/>
  <c r="S474" i="5"/>
  <c r="S473" i="5"/>
  <c r="S472" i="5"/>
  <c r="S471" i="5"/>
  <c r="S470" i="5"/>
  <c r="S469" i="5"/>
  <c r="S468" i="5"/>
  <c r="S467" i="5"/>
  <c r="S466" i="5"/>
  <c r="S465" i="5"/>
  <c r="S464" i="5"/>
  <c r="S463" i="5"/>
  <c r="S462" i="5"/>
  <c r="S461" i="5"/>
  <c r="S460" i="5"/>
  <c r="S459" i="5"/>
  <c r="S458" i="5"/>
  <c r="S457" i="5"/>
  <c r="S456" i="5"/>
  <c r="S455" i="5"/>
  <c r="S454" i="5"/>
  <c r="S453" i="5"/>
  <c r="S452" i="5"/>
  <c r="S451" i="5"/>
  <c r="S450" i="5"/>
  <c r="S449" i="5"/>
  <c r="S448" i="5"/>
  <c r="S447" i="5"/>
  <c r="S446" i="5"/>
  <c r="S445" i="5"/>
  <c r="S444" i="5"/>
  <c r="S443" i="5"/>
  <c r="S442" i="5"/>
  <c r="S441" i="5"/>
  <c r="S440" i="5"/>
  <c r="S439" i="5"/>
  <c r="S438" i="5"/>
  <c r="S437" i="5"/>
  <c r="S436" i="5"/>
  <c r="S435" i="5"/>
  <c r="S434" i="5"/>
  <c r="S433" i="5"/>
  <c r="S432" i="5"/>
  <c r="S431" i="5"/>
  <c r="S430" i="5"/>
  <c r="S429" i="5"/>
  <c r="S428" i="5"/>
  <c r="S427" i="5"/>
  <c r="S426" i="5"/>
  <c r="S425" i="5"/>
  <c r="S424" i="5"/>
  <c r="S423" i="5"/>
  <c r="S422" i="5"/>
  <c r="S421" i="5"/>
  <c r="S420" i="5"/>
  <c r="S419" i="5"/>
  <c r="S418" i="5"/>
  <c r="S417" i="5"/>
  <c r="S416" i="5"/>
  <c r="S415" i="5"/>
  <c r="S414" i="5"/>
  <c r="S413" i="5"/>
  <c r="S412" i="5"/>
  <c r="S411" i="5"/>
  <c r="S410" i="5"/>
  <c r="S409" i="5"/>
  <c r="S408" i="5"/>
  <c r="S407" i="5"/>
  <c r="S406" i="5"/>
  <c r="S405" i="5"/>
  <c r="S404" i="5"/>
  <c r="S403" i="5"/>
  <c r="S402" i="5"/>
  <c r="S401" i="5"/>
  <c r="S400" i="5"/>
  <c r="S399" i="5"/>
  <c r="S398" i="5"/>
  <c r="S397" i="5"/>
  <c r="S396" i="5"/>
  <c r="S395" i="5"/>
  <c r="S394" i="5"/>
  <c r="S393" i="5"/>
  <c r="S392" i="5"/>
  <c r="S391" i="5"/>
  <c r="S390" i="5"/>
  <c r="S389" i="5"/>
  <c r="S388" i="5"/>
  <c r="S387" i="5"/>
  <c r="S386" i="5"/>
  <c r="S385" i="5"/>
  <c r="S384" i="5"/>
  <c r="S383" i="5"/>
  <c r="S382" i="5"/>
  <c r="S381" i="5"/>
  <c r="S380" i="5"/>
  <c r="S379" i="5"/>
  <c r="S378" i="5"/>
  <c r="S377" i="5"/>
  <c r="S376" i="5"/>
  <c r="S375" i="5"/>
  <c r="S374" i="5"/>
  <c r="S373" i="5"/>
  <c r="S372" i="5"/>
  <c r="S371" i="5"/>
  <c r="S370" i="5"/>
  <c r="S369" i="5"/>
  <c r="S368" i="5"/>
  <c r="S367" i="5"/>
  <c r="S366" i="5"/>
  <c r="S365" i="5"/>
  <c r="S364" i="5"/>
  <c r="S363" i="5"/>
  <c r="S362" i="5"/>
  <c r="S361" i="5"/>
  <c r="S360" i="5"/>
  <c r="S359" i="5"/>
  <c r="S358" i="5"/>
  <c r="S357" i="5"/>
  <c r="S356" i="5"/>
  <c r="S355" i="5"/>
  <c r="S354" i="5"/>
  <c r="S353" i="5"/>
  <c r="S352" i="5"/>
  <c r="S351" i="5"/>
  <c r="S350" i="5"/>
  <c r="S349" i="5"/>
  <c r="S348" i="5"/>
  <c r="S347" i="5"/>
  <c r="S346" i="5"/>
  <c r="S345" i="5"/>
  <c r="S344" i="5"/>
  <c r="S343" i="5"/>
  <c r="S342" i="5"/>
  <c r="S341" i="5"/>
  <c r="S340" i="5"/>
  <c r="S339" i="5"/>
  <c r="S338" i="5"/>
  <c r="S337" i="5"/>
  <c r="S336" i="5"/>
  <c r="S335" i="5"/>
  <c r="S334" i="5"/>
  <c r="S333" i="5"/>
  <c r="S332" i="5"/>
  <c r="S331" i="5"/>
  <c r="S330" i="5"/>
  <c r="S329" i="5"/>
  <c r="S328" i="5"/>
  <c r="S327" i="5"/>
  <c r="S326" i="5"/>
  <c r="S325" i="5"/>
  <c r="S324" i="5"/>
  <c r="S323" i="5"/>
  <c r="S322" i="5"/>
  <c r="S321" i="5"/>
  <c r="S320" i="5"/>
  <c r="S319" i="5"/>
  <c r="S318" i="5"/>
  <c r="S317" i="5"/>
  <c r="S316" i="5"/>
  <c r="S315" i="5"/>
  <c r="S314" i="5"/>
  <c r="S313" i="5"/>
  <c r="S312" i="5"/>
  <c r="S311" i="5"/>
  <c r="S310" i="5"/>
  <c r="S309" i="5"/>
  <c r="S308" i="5"/>
  <c r="S307" i="5"/>
  <c r="S306" i="5"/>
  <c r="S305" i="5"/>
  <c r="S304" i="5"/>
  <c r="S303" i="5"/>
  <c r="S302" i="5"/>
  <c r="S301" i="5"/>
  <c r="S300" i="5"/>
  <c r="S299" i="5"/>
  <c r="S298" i="5"/>
  <c r="S297" i="5"/>
  <c r="S296" i="5"/>
  <c r="S295" i="5"/>
  <c r="S294" i="5"/>
  <c r="S293" i="5"/>
  <c r="S292" i="5"/>
  <c r="S291" i="5"/>
  <c r="S290" i="5"/>
  <c r="S289" i="5"/>
  <c r="S288" i="5"/>
  <c r="S287" i="5"/>
  <c r="S286" i="5"/>
  <c r="S285" i="5"/>
  <c r="S284" i="5"/>
  <c r="S283" i="5"/>
  <c r="S282" i="5"/>
  <c r="S281" i="5"/>
  <c r="S280" i="5"/>
  <c r="S279" i="5"/>
  <c r="S278" i="5"/>
  <c r="S277" i="5"/>
  <c r="S276" i="5"/>
  <c r="S275" i="5"/>
  <c r="S274" i="5"/>
  <c r="S273" i="5"/>
  <c r="S272" i="5"/>
  <c r="S271" i="5"/>
  <c r="S270" i="5"/>
  <c r="S269" i="5"/>
  <c r="S268" i="5"/>
  <c r="S267" i="5"/>
  <c r="S266" i="5"/>
  <c r="S265" i="5"/>
  <c r="S264" i="5"/>
  <c r="S263" i="5"/>
  <c r="S262" i="5"/>
  <c r="S261" i="5"/>
  <c r="S260" i="5"/>
  <c r="S259" i="5"/>
  <c r="S258" i="5"/>
  <c r="S257" i="5"/>
  <c r="S256" i="5"/>
  <c r="S255" i="5"/>
  <c r="S254" i="5"/>
  <c r="S253" i="5"/>
  <c r="S252" i="5"/>
  <c r="S251" i="5"/>
  <c r="S250" i="5"/>
  <c r="S249" i="5"/>
  <c r="S248" i="5"/>
  <c r="S247" i="5"/>
  <c r="S246" i="5"/>
  <c r="S245" i="5"/>
  <c r="S244" i="5"/>
  <c r="S243" i="5"/>
  <c r="S242" i="5"/>
  <c r="S241" i="5"/>
  <c r="S240" i="5"/>
  <c r="S239" i="5"/>
  <c r="S238" i="5"/>
  <c r="S237" i="5"/>
  <c r="S236" i="5"/>
  <c r="S235" i="5"/>
  <c r="S234" i="5"/>
  <c r="S233" i="5"/>
  <c r="S232" i="5"/>
  <c r="S231" i="5"/>
  <c r="S230" i="5"/>
  <c r="S229" i="5"/>
  <c r="S228" i="5"/>
  <c r="S227" i="5"/>
  <c r="S226" i="5"/>
  <c r="S225" i="5"/>
  <c r="S224" i="5"/>
  <c r="S223" i="5"/>
  <c r="S222" i="5"/>
  <c r="S221" i="5"/>
  <c r="S220" i="5"/>
  <c r="S219" i="5"/>
  <c r="S218" i="5"/>
  <c r="S217" i="5"/>
  <c r="S216" i="5"/>
  <c r="S215" i="5"/>
  <c r="S214" i="5"/>
  <c r="S213" i="5"/>
  <c r="S212" i="5"/>
  <c r="S211" i="5"/>
  <c r="S210" i="5"/>
  <c r="S209" i="5"/>
  <c r="S208" i="5"/>
  <c r="S207" i="5"/>
  <c r="S206" i="5"/>
  <c r="S205" i="5"/>
  <c r="S204" i="5"/>
  <c r="S203" i="5"/>
  <c r="S202" i="5"/>
  <c r="S201" i="5"/>
  <c r="S200" i="5"/>
  <c r="S199" i="5"/>
  <c r="S198" i="5"/>
  <c r="S197" i="5"/>
  <c r="S196" i="5"/>
  <c r="S195" i="5"/>
  <c r="S194" i="5"/>
  <c r="S193" i="5"/>
  <c r="S192" i="5"/>
  <c r="S191" i="5"/>
  <c r="S190" i="5"/>
  <c r="S189" i="5"/>
  <c r="S188" i="5"/>
  <c r="S187" i="5"/>
  <c r="S186" i="5"/>
  <c r="S185" i="5"/>
  <c r="S184" i="5"/>
  <c r="S183" i="5"/>
  <c r="S182" i="5"/>
  <c r="S181" i="5"/>
  <c r="S180" i="5"/>
  <c r="S179" i="5"/>
  <c r="S178" i="5"/>
  <c r="S177" i="5"/>
  <c r="S176" i="5"/>
  <c r="S175" i="5"/>
  <c r="S174" i="5"/>
  <c r="S173" i="5"/>
  <c r="S172" i="5"/>
  <c r="S171" i="5"/>
  <c r="S170" i="5"/>
  <c r="S169" i="5"/>
  <c r="S168" i="5"/>
  <c r="S167" i="5"/>
  <c r="S166" i="5"/>
  <c r="S165" i="5"/>
  <c r="S164" i="5"/>
  <c r="S163" i="5"/>
  <c r="S162" i="5"/>
  <c r="S161" i="5"/>
  <c r="S160" i="5"/>
  <c r="S159" i="5"/>
  <c r="S158" i="5"/>
  <c r="S157" i="5"/>
  <c r="S156" i="5"/>
  <c r="S155" i="5"/>
  <c r="S154" i="5"/>
  <c r="S153" i="5"/>
  <c r="S152" i="5"/>
  <c r="S151" i="5"/>
  <c r="S150" i="5"/>
  <c r="S149" i="5"/>
  <c r="S148" i="5"/>
  <c r="S147" i="5"/>
  <c r="S146" i="5"/>
  <c r="S145" i="5"/>
  <c r="S144" i="5"/>
  <c r="S143" i="5"/>
  <c r="S142" i="5"/>
  <c r="S141" i="5"/>
  <c r="S140" i="5"/>
  <c r="S139" i="5"/>
  <c r="S138" i="5"/>
  <c r="S137" i="5"/>
  <c r="S136" i="5"/>
  <c r="S135" i="5"/>
  <c r="S134" i="5"/>
  <c r="S133" i="5"/>
  <c r="S132" i="5"/>
  <c r="S131" i="5"/>
  <c r="S130" i="5"/>
  <c r="S129" i="5"/>
  <c r="S128" i="5"/>
  <c r="S127" i="5"/>
  <c r="S126" i="5"/>
  <c r="S125" i="5"/>
  <c r="S124" i="5"/>
  <c r="S123" i="5"/>
  <c r="S122" i="5"/>
  <c r="S121" i="5"/>
  <c r="S120" i="5"/>
  <c r="S119" i="5"/>
  <c r="S118" i="5"/>
  <c r="S117" i="5"/>
  <c r="S116" i="5"/>
  <c r="S115" i="5"/>
  <c r="S114" i="5"/>
  <c r="S113" i="5"/>
  <c r="S112" i="5"/>
  <c r="S111" i="5"/>
  <c r="S110" i="5"/>
  <c r="S109" i="5"/>
  <c r="S108" i="5"/>
  <c r="S107" i="5"/>
  <c r="S106" i="5"/>
  <c r="S105" i="5"/>
  <c r="S104" i="5"/>
  <c r="S103" i="5"/>
  <c r="S102" i="5"/>
  <c r="S101" i="5"/>
  <c r="S100" i="5"/>
  <c r="S99" i="5"/>
  <c r="S98" i="5"/>
  <c r="S97" i="5"/>
  <c r="S96" i="5"/>
  <c r="S95" i="5"/>
  <c r="S94" i="5"/>
  <c r="S93" i="5"/>
  <c r="S92" i="5"/>
  <c r="S91" i="5"/>
  <c r="S90" i="5"/>
  <c r="S89" i="5"/>
  <c r="S88" i="5"/>
  <c r="S87" i="5"/>
  <c r="S86" i="5"/>
  <c r="S85" i="5"/>
  <c r="S84" i="5"/>
  <c r="S83" i="5"/>
  <c r="S82" i="5"/>
  <c r="S81" i="5"/>
  <c r="S80" i="5"/>
  <c r="S79" i="5"/>
  <c r="S78" i="5"/>
  <c r="S77" i="5"/>
  <c r="S76" i="5"/>
  <c r="S75" i="5"/>
  <c r="S74" i="5"/>
  <c r="S73" i="5"/>
  <c r="S72" i="5"/>
  <c r="S71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D504" i="5"/>
  <c r="R504" i="5" s="1"/>
  <c r="D503" i="5"/>
  <c r="R503" i="5" s="1"/>
  <c r="D502" i="5"/>
  <c r="R502" i="5"/>
  <c r="D501" i="5"/>
  <c r="R501" i="5" s="1"/>
  <c r="D500" i="5"/>
  <c r="R500" i="5" s="1"/>
  <c r="D499" i="5"/>
  <c r="R499" i="5" s="1"/>
  <c r="D498" i="5"/>
  <c r="R498" i="5" s="1"/>
  <c r="D497" i="5"/>
  <c r="R497" i="5" s="1"/>
  <c r="D496" i="5"/>
  <c r="R496" i="5" s="1"/>
  <c r="D495" i="5"/>
  <c r="R495" i="5" s="1"/>
  <c r="D494" i="5"/>
  <c r="R494" i="5"/>
  <c r="D493" i="5"/>
  <c r="R493" i="5" s="1"/>
  <c r="D492" i="5"/>
  <c r="R492" i="5" s="1"/>
  <c r="D491" i="5"/>
  <c r="R491" i="5" s="1"/>
  <c r="D490" i="5"/>
  <c r="R490" i="5" s="1"/>
  <c r="D489" i="5"/>
  <c r="R489" i="5" s="1"/>
  <c r="D488" i="5"/>
  <c r="R488" i="5" s="1"/>
  <c r="D487" i="5"/>
  <c r="R487" i="5" s="1"/>
  <c r="D486" i="5"/>
  <c r="R486" i="5"/>
  <c r="D485" i="5"/>
  <c r="R485" i="5" s="1"/>
  <c r="D484" i="5"/>
  <c r="R484" i="5" s="1"/>
  <c r="D483" i="5"/>
  <c r="R483" i="5" s="1"/>
  <c r="D482" i="5"/>
  <c r="R482" i="5" s="1"/>
  <c r="D481" i="5"/>
  <c r="R481" i="5" s="1"/>
  <c r="D480" i="5"/>
  <c r="R480" i="5" s="1"/>
  <c r="D479" i="5"/>
  <c r="R479" i="5" s="1"/>
  <c r="D478" i="5"/>
  <c r="R478" i="5"/>
  <c r="D477" i="5"/>
  <c r="R477" i="5" s="1"/>
  <c r="D476" i="5"/>
  <c r="R476" i="5" s="1"/>
  <c r="D475" i="5"/>
  <c r="R475" i="5" s="1"/>
  <c r="D474" i="5"/>
  <c r="R474" i="5" s="1"/>
  <c r="D473" i="5"/>
  <c r="R473" i="5" s="1"/>
  <c r="D472" i="5"/>
  <c r="R472" i="5" s="1"/>
  <c r="D471" i="5"/>
  <c r="R471" i="5" s="1"/>
  <c r="D470" i="5"/>
  <c r="R470" i="5"/>
  <c r="D469" i="5"/>
  <c r="R469" i="5" s="1"/>
  <c r="D468" i="5"/>
  <c r="R468" i="5" s="1"/>
  <c r="D467" i="5"/>
  <c r="R467" i="5" s="1"/>
  <c r="D466" i="5"/>
  <c r="R466" i="5" s="1"/>
  <c r="D465" i="5"/>
  <c r="R465" i="5" s="1"/>
  <c r="D464" i="5"/>
  <c r="R464" i="5" s="1"/>
  <c r="D463" i="5"/>
  <c r="R463" i="5" s="1"/>
  <c r="D462" i="5"/>
  <c r="R462" i="5"/>
  <c r="D461" i="5"/>
  <c r="R461" i="5" s="1"/>
  <c r="D460" i="5"/>
  <c r="R460" i="5" s="1"/>
  <c r="D459" i="5"/>
  <c r="R459" i="5" s="1"/>
  <c r="D458" i="5"/>
  <c r="R458" i="5" s="1"/>
  <c r="D457" i="5"/>
  <c r="R457" i="5" s="1"/>
  <c r="D456" i="5"/>
  <c r="R456" i="5" s="1"/>
  <c r="D455" i="5"/>
  <c r="R455" i="5" s="1"/>
  <c r="D454" i="5"/>
  <c r="R454" i="5"/>
  <c r="D453" i="5"/>
  <c r="R453" i="5" s="1"/>
  <c r="D452" i="5"/>
  <c r="R452" i="5" s="1"/>
  <c r="D451" i="5"/>
  <c r="R451" i="5" s="1"/>
  <c r="D450" i="5"/>
  <c r="R450" i="5" s="1"/>
  <c r="D449" i="5"/>
  <c r="R449" i="5" s="1"/>
  <c r="D448" i="5"/>
  <c r="R448" i="5" s="1"/>
  <c r="D447" i="5"/>
  <c r="R447" i="5" s="1"/>
  <c r="D446" i="5"/>
  <c r="R446" i="5"/>
  <c r="D445" i="5"/>
  <c r="R445" i="5" s="1"/>
  <c r="D444" i="5"/>
  <c r="R444" i="5" s="1"/>
  <c r="D443" i="5"/>
  <c r="R443" i="5" s="1"/>
  <c r="D442" i="5"/>
  <c r="R442" i="5" s="1"/>
  <c r="D441" i="5"/>
  <c r="R441" i="5" s="1"/>
  <c r="D440" i="5"/>
  <c r="R440" i="5" s="1"/>
  <c r="D439" i="5"/>
  <c r="R439" i="5" s="1"/>
  <c r="D438" i="5"/>
  <c r="R438" i="5"/>
  <c r="D437" i="5"/>
  <c r="R437" i="5" s="1"/>
  <c r="D436" i="5"/>
  <c r="R436" i="5" s="1"/>
  <c r="D435" i="5"/>
  <c r="R435" i="5" s="1"/>
  <c r="D434" i="5"/>
  <c r="R434" i="5" s="1"/>
  <c r="D433" i="5"/>
  <c r="R433" i="5" s="1"/>
  <c r="D432" i="5"/>
  <c r="R432" i="5" s="1"/>
  <c r="D431" i="5"/>
  <c r="R431" i="5" s="1"/>
  <c r="D430" i="5"/>
  <c r="R430" i="5"/>
  <c r="D429" i="5"/>
  <c r="R429" i="5" s="1"/>
  <c r="D428" i="5"/>
  <c r="R428" i="5" s="1"/>
  <c r="D427" i="5"/>
  <c r="R427" i="5" s="1"/>
  <c r="D426" i="5"/>
  <c r="R426" i="5" s="1"/>
  <c r="D425" i="5"/>
  <c r="R425" i="5" s="1"/>
  <c r="D424" i="5"/>
  <c r="R424" i="5" s="1"/>
  <c r="D423" i="5"/>
  <c r="R423" i="5" s="1"/>
  <c r="D422" i="5"/>
  <c r="R422" i="5"/>
  <c r="D421" i="5"/>
  <c r="R421" i="5" s="1"/>
  <c r="D420" i="5"/>
  <c r="R420" i="5" s="1"/>
  <c r="D419" i="5"/>
  <c r="R419" i="5" s="1"/>
  <c r="D418" i="5"/>
  <c r="R418" i="5" s="1"/>
  <c r="D417" i="5"/>
  <c r="R417" i="5" s="1"/>
  <c r="D416" i="5"/>
  <c r="R416" i="5" s="1"/>
  <c r="D415" i="5"/>
  <c r="R415" i="5" s="1"/>
  <c r="D414" i="5"/>
  <c r="R414" i="5"/>
  <c r="D413" i="5"/>
  <c r="R413" i="5" s="1"/>
  <c r="D412" i="5"/>
  <c r="R412" i="5" s="1"/>
  <c r="D411" i="5"/>
  <c r="R411" i="5" s="1"/>
  <c r="D410" i="5"/>
  <c r="R410" i="5" s="1"/>
  <c r="D409" i="5"/>
  <c r="R409" i="5" s="1"/>
  <c r="D408" i="5"/>
  <c r="R408" i="5" s="1"/>
  <c r="D407" i="5"/>
  <c r="R407" i="5" s="1"/>
  <c r="D406" i="5"/>
  <c r="R406" i="5"/>
  <c r="D405" i="5"/>
  <c r="R405" i="5" s="1"/>
  <c r="D404" i="5"/>
  <c r="R404" i="5" s="1"/>
  <c r="D403" i="5"/>
  <c r="R403" i="5" s="1"/>
  <c r="D402" i="5"/>
  <c r="R402" i="5" s="1"/>
  <c r="D401" i="5"/>
  <c r="R401" i="5" s="1"/>
  <c r="D400" i="5"/>
  <c r="R400" i="5" s="1"/>
  <c r="D399" i="5"/>
  <c r="R399" i="5" s="1"/>
  <c r="D398" i="5"/>
  <c r="R398" i="5"/>
  <c r="D397" i="5"/>
  <c r="R397" i="5" s="1"/>
  <c r="D396" i="5"/>
  <c r="R396" i="5" s="1"/>
  <c r="D395" i="5"/>
  <c r="R395" i="5" s="1"/>
  <c r="D394" i="5"/>
  <c r="R394" i="5" s="1"/>
  <c r="D393" i="5"/>
  <c r="R393" i="5" s="1"/>
  <c r="D392" i="5"/>
  <c r="R392" i="5" s="1"/>
  <c r="D391" i="5"/>
  <c r="R391" i="5" s="1"/>
  <c r="D390" i="5"/>
  <c r="R390" i="5"/>
  <c r="D389" i="5"/>
  <c r="R389" i="5" s="1"/>
  <c r="D388" i="5"/>
  <c r="R388" i="5" s="1"/>
  <c r="D387" i="5"/>
  <c r="R387" i="5" s="1"/>
  <c r="D386" i="5"/>
  <c r="R386" i="5" s="1"/>
  <c r="D385" i="5"/>
  <c r="R385" i="5" s="1"/>
  <c r="D384" i="5"/>
  <c r="R384" i="5" s="1"/>
  <c r="D383" i="5"/>
  <c r="R383" i="5" s="1"/>
  <c r="D382" i="5"/>
  <c r="R382" i="5"/>
  <c r="D381" i="5"/>
  <c r="R381" i="5" s="1"/>
  <c r="D380" i="5"/>
  <c r="R380" i="5" s="1"/>
  <c r="D379" i="5"/>
  <c r="R379" i="5" s="1"/>
  <c r="D378" i="5"/>
  <c r="R378" i="5" s="1"/>
  <c r="D377" i="5"/>
  <c r="R377" i="5" s="1"/>
  <c r="D376" i="5"/>
  <c r="R376" i="5" s="1"/>
  <c r="D375" i="5"/>
  <c r="R375" i="5" s="1"/>
  <c r="D374" i="5"/>
  <c r="R374" i="5"/>
  <c r="D373" i="5"/>
  <c r="R373" i="5" s="1"/>
  <c r="D372" i="5"/>
  <c r="R372" i="5" s="1"/>
  <c r="D371" i="5"/>
  <c r="R371" i="5" s="1"/>
  <c r="D370" i="5"/>
  <c r="R370" i="5" s="1"/>
  <c r="D369" i="5"/>
  <c r="R369" i="5" s="1"/>
  <c r="D368" i="5"/>
  <c r="R368" i="5" s="1"/>
  <c r="D367" i="5"/>
  <c r="R367" i="5" s="1"/>
  <c r="D366" i="5"/>
  <c r="R366" i="5"/>
  <c r="D365" i="5"/>
  <c r="R365" i="5" s="1"/>
  <c r="D364" i="5"/>
  <c r="R364" i="5" s="1"/>
  <c r="D363" i="5"/>
  <c r="R363" i="5" s="1"/>
  <c r="D362" i="5"/>
  <c r="R362" i="5" s="1"/>
  <c r="D361" i="5"/>
  <c r="R361" i="5" s="1"/>
  <c r="D360" i="5"/>
  <c r="R360" i="5" s="1"/>
  <c r="D359" i="5"/>
  <c r="R359" i="5" s="1"/>
  <c r="D358" i="5"/>
  <c r="R358" i="5"/>
  <c r="D357" i="5"/>
  <c r="R357" i="5" s="1"/>
  <c r="D356" i="5"/>
  <c r="R356" i="5" s="1"/>
  <c r="D355" i="5"/>
  <c r="R355" i="5" s="1"/>
  <c r="D354" i="5"/>
  <c r="R354" i="5" s="1"/>
  <c r="D353" i="5"/>
  <c r="R353" i="5" s="1"/>
  <c r="D352" i="5"/>
  <c r="R352" i="5" s="1"/>
  <c r="D351" i="5"/>
  <c r="R351" i="5" s="1"/>
  <c r="D350" i="5"/>
  <c r="R350" i="5"/>
  <c r="D349" i="5"/>
  <c r="R349" i="5" s="1"/>
  <c r="D348" i="5"/>
  <c r="R348" i="5" s="1"/>
  <c r="D347" i="5"/>
  <c r="R347" i="5" s="1"/>
  <c r="D346" i="5"/>
  <c r="R346" i="5" s="1"/>
  <c r="D345" i="5"/>
  <c r="R345" i="5" s="1"/>
  <c r="D344" i="5"/>
  <c r="R344" i="5" s="1"/>
  <c r="D343" i="5"/>
  <c r="R343" i="5" s="1"/>
  <c r="D342" i="5"/>
  <c r="R342" i="5"/>
  <c r="D341" i="5"/>
  <c r="R341" i="5" s="1"/>
  <c r="D340" i="5"/>
  <c r="R340" i="5" s="1"/>
  <c r="D339" i="5"/>
  <c r="R339" i="5" s="1"/>
  <c r="D338" i="5"/>
  <c r="R338" i="5" s="1"/>
  <c r="D337" i="5"/>
  <c r="R337" i="5" s="1"/>
  <c r="D336" i="5"/>
  <c r="R336" i="5" s="1"/>
  <c r="D335" i="5"/>
  <c r="R335" i="5" s="1"/>
  <c r="D334" i="5"/>
  <c r="R334" i="5"/>
  <c r="D333" i="5"/>
  <c r="R333" i="5" s="1"/>
  <c r="D332" i="5"/>
  <c r="R332" i="5" s="1"/>
  <c r="D331" i="5"/>
  <c r="R331" i="5" s="1"/>
  <c r="D330" i="5"/>
  <c r="R330" i="5" s="1"/>
  <c r="D329" i="5"/>
  <c r="R329" i="5" s="1"/>
  <c r="D328" i="5"/>
  <c r="R328" i="5" s="1"/>
  <c r="D327" i="5"/>
  <c r="R327" i="5" s="1"/>
  <c r="D326" i="5"/>
  <c r="R326" i="5"/>
  <c r="D325" i="5"/>
  <c r="R325" i="5" s="1"/>
  <c r="D324" i="5"/>
  <c r="R324" i="5" s="1"/>
  <c r="D323" i="5"/>
  <c r="R323" i="5" s="1"/>
  <c r="D322" i="5"/>
  <c r="R322" i="5" s="1"/>
  <c r="D321" i="5"/>
  <c r="R321" i="5" s="1"/>
  <c r="D320" i="5"/>
  <c r="R320" i="5" s="1"/>
  <c r="D319" i="5"/>
  <c r="R319" i="5" s="1"/>
  <c r="D318" i="5"/>
  <c r="R318" i="5"/>
  <c r="D317" i="5"/>
  <c r="R317" i="5" s="1"/>
  <c r="D316" i="5"/>
  <c r="R316" i="5" s="1"/>
  <c r="D315" i="5"/>
  <c r="R315" i="5" s="1"/>
  <c r="D314" i="5"/>
  <c r="R314" i="5" s="1"/>
  <c r="D313" i="5"/>
  <c r="R313" i="5" s="1"/>
  <c r="D312" i="5"/>
  <c r="R312" i="5" s="1"/>
  <c r="D311" i="5"/>
  <c r="R311" i="5" s="1"/>
  <c r="D310" i="5"/>
  <c r="R310" i="5"/>
  <c r="D309" i="5"/>
  <c r="R309" i="5" s="1"/>
  <c r="D308" i="5"/>
  <c r="R308" i="5" s="1"/>
  <c r="D307" i="5"/>
  <c r="R307" i="5" s="1"/>
  <c r="D306" i="5"/>
  <c r="R306" i="5" s="1"/>
  <c r="D305" i="5"/>
  <c r="R305" i="5" s="1"/>
  <c r="D304" i="5"/>
  <c r="R304" i="5" s="1"/>
  <c r="D303" i="5"/>
  <c r="R303" i="5" s="1"/>
  <c r="D302" i="5"/>
  <c r="R302" i="5"/>
  <c r="D301" i="5"/>
  <c r="R301" i="5" s="1"/>
  <c r="D300" i="5"/>
  <c r="R300" i="5" s="1"/>
  <c r="D299" i="5"/>
  <c r="R299" i="5" s="1"/>
  <c r="D298" i="5"/>
  <c r="R298" i="5" s="1"/>
  <c r="D297" i="5"/>
  <c r="R297" i="5" s="1"/>
  <c r="D296" i="5"/>
  <c r="R296" i="5" s="1"/>
  <c r="D295" i="5"/>
  <c r="R295" i="5" s="1"/>
  <c r="D294" i="5"/>
  <c r="R294" i="5"/>
  <c r="D293" i="5"/>
  <c r="R293" i="5" s="1"/>
  <c r="D292" i="5"/>
  <c r="R292" i="5" s="1"/>
  <c r="D291" i="5"/>
  <c r="R291" i="5" s="1"/>
  <c r="D290" i="5"/>
  <c r="R290" i="5" s="1"/>
  <c r="D289" i="5"/>
  <c r="R289" i="5" s="1"/>
  <c r="D288" i="5"/>
  <c r="R288" i="5" s="1"/>
  <c r="D287" i="5"/>
  <c r="R287" i="5" s="1"/>
  <c r="D286" i="5"/>
  <c r="R286" i="5"/>
  <c r="D285" i="5"/>
  <c r="R285" i="5" s="1"/>
  <c r="D284" i="5"/>
  <c r="R284" i="5" s="1"/>
  <c r="D283" i="5"/>
  <c r="R283" i="5" s="1"/>
  <c r="D282" i="5"/>
  <c r="R282" i="5" s="1"/>
  <c r="D281" i="5"/>
  <c r="R281" i="5" s="1"/>
  <c r="D280" i="5"/>
  <c r="R280" i="5" s="1"/>
  <c r="D279" i="5"/>
  <c r="R279" i="5" s="1"/>
  <c r="D278" i="5"/>
  <c r="R278" i="5"/>
  <c r="D277" i="5"/>
  <c r="R277" i="5" s="1"/>
  <c r="D276" i="5"/>
  <c r="R276" i="5" s="1"/>
  <c r="D275" i="5"/>
  <c r="R275" i="5" s="1"/>
  <c r="D274" i="5"/>
  <c r="R274" i="5" s="1"/>
  <c r="D273" i="5"/>
  <c r="R273" i="5" s="1"/>
  <c r="D272" i="5"/>
  <c r="R272" i="5" s="1"/>
  <c r="D271" i="5"/>
  <c r="R271" i="5" s="1"/>
  <c r="D270" i="5"/>
  <c r="R270" i="5"/>
  <c r="D269" i="5"/>
  <c r="R269" i="5" s="1"/>
  <c r="D268" i="5"/>
  <c r="R268" i="5" s="1"/>
  <c r="D267" i="5"/>
  <c r="R267" i="5" s="1"/>
  <c r="D266" i="5"/>
  <c r="R266" i="5" s="1"/>
  <c r="D265" i="5"/>
  <c r="R265" i="5" s="1"/>
  <c r="D264" i="5"/>
  <c r="R264" i="5" s="1"/>
  <c r="D263" i="5"/>
  <c r="R263" i="5" s="1"/>
  <c r="D262" i="5"/>
  <c r="R262" i="5"/>
  <c r="D261" i="5"/>
  <c r="R261" i="5" s="1"/>
  <c r="D260" i="5"/>
  <c r="R260" i="5" s="1"/>
  <c r="D259" i="5"/>
  <c r="R259" i="5" s="1"/>
  <c r="D258" i="5"/>
  <c r="R258" i="5" s="1"/>
  <c r="D257" i="5"/>
  <c r="R257" i="5" s="1"/>
  <c r="D256" i="5"/>
  <c r="R256" i="5" s="1"/>
  <c r="D255" i="5"/>
  <c r="R255" i="5" s="1"/>
  <c r="D254" i="5"/>
  <c r="R254" i="5"/>
  <c r="D253" i="5"/>
  <c r="R253" i="5" s="1"/>
  <c r="D252" i="5"/>
  <c r="R252" i="5" s="1"/>
  <c r="D251" i="5"/>
  <c r="R251" i="5" s="1"/>
  <c r="D250" i="5"/>
  <c r="R250" i="5" s="1"/>
  <c r="D249" i="5"/>
  <c r="R249" i="5" s="1"/>
  <c r="D248" i="5"/>
  <c r="R248" i="5" s="1"/>
  <c r="D247" i="5"/>
  <c r="R247" i="5" s="1"/>
  <c r="D246" i="5"/>
  <c r="R246" i="5"/>
  <c r="D245" i="5"/>
  <c r="R245" i="5" s="1"/>
  <c r="D244" i="5"/>
  <c r="R244" i="5" s="1"/>
  <c r="D243" i="5"/>
  <c r="R243" i="5" s="1"/>
  <c r="D242" i="5"/>
  <c r="R242" i="5" s="1"/>
  <c r="D241" i="5"/>
  <c r="R241" i="5" s="1"/>
  <c r="D240" i="5"/>
  <c r="R240" i="5" s="1"/>
  <c r="D239" i="5"/>
  <c r="R239" i="5" s="1"/>
  <c r="D238" i="5"/>
  <c r="R238" i="5"/>
  <c r="D237" i="5"/>
  <c r="R237" i="5" s="1"/>
  <c r="D236" i="5"/>
  <c r="R236" i="5" s="1"/>
  <c r="D235" i="5"/>
  <c r="R235" i="5" s="1"/>
  <c r="D234" i="5"/>
  <c r="R234" i="5" s="1"/>
  <c r="D233" i="5"/>
  <c r="R233" i="5" s="1"/>
  <c r="D232" i="5"/>
  <c r="R232" i="5" s="1"/>
  <c r="D231" i="5"/>
  <c r="R231" i="5" s="1"/>
  <c r="D230" i="5"/>
  <c r="R230" i="5"/>
  <c r="D229" i="5"/>
  <c r="R229" i="5" s="1"/>
  <c r="D228" i="5"/>
  <c r="R228" i="5" s="1"/>
  <c r="D227" i="5"/>
  <c r="R227" i="5" s="1"/>
  <c r="D226" i="5"/>
  <c r="R226" i="5" s="1"/>
  <c r="D225" i="5"/>
  <c r="R225" i="5" s="1"/>
  <c r="D224" i="5"/>
  <c r="R224" i="5" s="1"/>
  <c r="D223" i="5"/>
  <c r="R223" i="5" s="1"/>
  <c r="D222" i="5"/>
  <c r="R222" i="5"/>
  <c r="D221" i="5"/>
  <c r="R221" i="5" s="1"/>
  <c r="D220" i="5"/>
  <c r="R220" i="5" s="1"/>
  <c r="D219" i="5"/>
  <c r="R219" i="5" s="1"/>
  <c r="D218" i="5"/>
  <c r="R218" i="5" s="1"/>
  <c r="D217" i="5"/>
  <c r="R217" i="5" s="1"/>
  <c r="D216" i="5"/>
  <c r="R216" i="5" s="1"/>
  <c r="D215" i="5"/>
  <c r="R215" i="5" s="1"/>
  <c r="D214" i="5"/>
  <c r="R214" i="5"/>
  <c r="D213" i="5"/>
  <c r="R213" i="5" s="1"/>
  <c r="D212" i="5"/>
  <c r="R212" i="5" s="1"/>
  <c r="D211" i="5"/>
  <c r="R211" i="5" s="1"/>
  <c r="D210" i="5"/>
  <c r="R210" i="5" s="1"/>
  <c r="D209" i="5"/>
  <c r="R209" i="5" s="1"/>
  <c r="D208" i="5"/>
  <c r="R208" i="5" s="1"/>
  <c r="D207" i="5"/>
  <c r="R207" i="5" s="1"/>
  <c r="D206" i="5"/>
  <c r="R206" i="5"/>
  <c r="D205" i="5"/>
  <c r="R205" i="5" s="1"/>
  <c r="D204" i="5"/>
  <c r="R204" i="5" s="1"/>
  <c r="D203" i="5"/>
  <c r="R203" i="5" s="1"/>
  <c r="D202" i="5"/>
  <c r="R202" i="5" s="1"/>
  <c r="D201" i="5"/>
  <c r="R201" i="5" s="1"/>
  <c r="D200" i="5"/>
  <c r="R200" i="5" s="1"/>
  <c r="D199" i="5"/>
  <c r="R199" i="5" s="1"/>
  <c r="D198" i="5"/>
  <c r="R198" i="5"/>
  <c r="D197" i="5"/>
  <c r="R197" i="5" s="1"/>
  <c r="D196" i="5"/>
  <c r="R196" i="5" s="1"/>
  <c r="D195" i="5"/>
  <c r="R195" i="5" s="1"/>
  <c r="D194" i="5"/>
  <c r="R194" i="5" s="1"/>
  <c r="D193" i="5"/>
  <c r="R193" i="5" s="1"/>
  <c r="D192" i="5"/>
  <c r="R192" i="5" s="1"/>
  <c r="D191" i="5"/>
  <c r="R191" i="5" s="1"/>
  <c r="D190" i="5"/>
  <c r="R190" i="5"/>
  <c r="D189" i="5"/>
  <c r="R189" i="5" s="1"/>
  <c r="D188" i="5"/>
  <c r="R188" i="5" s="1"/>
  <c r="D187" i="5"/>
  <c r="R187" i="5" s="1"/>
  <c r="D186" i="5"/>
  <c r="R186" i="5" s="1"/>
  <c r="D185" i="5"/>
  <c r="R185" i="5" s="1"/>
  <c r="D184" i="5"/>
  <c r="R184" i="5" s="1"/>
  <c r="D183" i="5"/>
  <c r="R183" i="5" s="1"/>
  <c r="D182" i="5"/>
  <c r="R182" i="5"/>
  <c r="D181" i="5"/>
  <c r="R181" i="5" s="1"/>
  <c r="D180" i="5"/>
  <c r="R180" i="5" s="1"/>
  <c r="D179" i="5"/>
  <c r="R179" i="5" s="1"/>
  <c r="D178" i="5"/>
  <c r="R178" i="5" s="1"/>
  <c r="D177" i="5"/>
  <c r="R177" i="5" s="1"/>
  <c r="D176" i="5"/>
  <c r="R176" i="5" s="1"/>
  <c r="D175" i="5"/>
  <c r="R175" i="5" s="1"/>
  <c r="D174" i="5"/>
  <c r="R174" i="5"/>
  <c r="D173" i="5"/>
  <c r="R173" i="5" s="1"/>
  <c r="D172" i="5"/>
  <c r="R172" i="5" s="1"/>
  <c r="D171" i="5"/>
  <c r="R171" i="5" s="1"/>
  <c r="D170" i="5"/>
  <c r="R170" i="5" s="1"/>
  <c r="D169" i="5"/>
  <c r="R169" i="5" s="1"/>
  <c r="D168" i="5"/>
  <c r="R168" i="5" s="1"/>
  <c r="D167" i="5"/>
  <c r="R167" i="5" s="1"/>
  <c r="D166" i="5"/>
  <c r="R166" i="5"/>
  <c r="D165" i="5"/>
  <c r="R165" i="5" s="1"/>
  <c r="D164" i="5"/>
  <c r="R164" i="5" s="1"/>
  <c r="D163" i="5"/>
  <c r="R163" i="5" s="1"/>
  <c r="D162" i="5"/>
  <c r="R162" i="5" s="1"/>
  <c r="D161" i="5"/>
  <c r="R161" i="5" s="1"/>
  <c r="D160" i="5"/>
  <c r="R160" i="5" s="1"/>
  <c r="D159" i="5"/>
  <c r="R159" i="5" s="1"/>
  <c r="D158" i="5"/>
  <c r="R158" i="5"/>
  <c r="D157" i="5"/>
  <c r="R157" i="5" s="1"/>
  <c r="D156" i="5"/>
  <c r="R156" i="5" s="1"/>
  <c r="D155" i="5"/>
  <c r="R155" i="5" s="1"/>
  <c r="D154" i="5"/>
  <c r="R154" i="5" s="1"/>
  <c r="D153" i="5"/>
  <c r="R153" i="5" s="1"/>
  <c r="D152" i="5"/>
  <c r="R152" i="5" s="1"/>
  <c r="D151" i="5"/>
  <c r="R151" i="5" s="1"/>
  <c r="D150" i="5"/>
  <c r="R150" i="5"/>
  <c r="D149" i="5"/>
  <c r="R149" i="5" s="1"/>
  <c r="D148" i="5"/>
  <c r="R148" i="5" s="1"/>
  <c r="D147" i="5"/>
  <c r="R147" i="5" s="1"/>
  <c r="D146" i="5"/>
  <c r="R146" i="5" s="1"/>
  <c r="D145" i="5"/>
  <c r="R145" i="5" s="1"/>
  <c r="D144" i="5"/>
  <c r="R144" i="5" s="1"/>
  <c r="D143" i="5"/>
  <c r="R143" i="5" s="1"/>
  <c r="D142" i="5"/>
  <c r="R142" i="5"/>
  <c r="D141" i="5"/>
  <c r="R141" i="5" s="1"/>
  <c r="D140" i="5"/>
  <c r="R140" i="5" s="1"/>
  <c r="D139" i="5"/>
  <c r="R139" i="5" s="1"/>
  <c r="D138" i="5"/>
  <c r="R138" i="5" s="1"/>
  <c r="D137" i="5"/>
  <c r="R137" i="5" s="1"/>
  <c r="D136" i="5"/>
  <c r="R136" i="5" s="1"/>
  <c r="D135" i="5"/>
  <c r="R135" i="5" s="1"/>
  <c r="D134" i="5"/>
  <c r="R134" i="5"/>
  <c r="D133" i="5"/>
  <c r="R133" i="5" s="1"/>
  <c r="D132" i="5"/>
  <c r="R132" i="5" s="1"/>
  <c r="D131" i="5"/>
  <c r="R131" i="5" s="1"/>
  <c r="D130" i="5"/>
  <c r="R130" i="5" s="1"/>
  <c r="D129" i="5"/>
  <c r="R129" i="5" s="1"/>
  <c r="D128" i="5"/>
  <c r="R128" i="5" s="1"/>
  <c r="D127" i="5"/>
  <c r="R127" i="5" s="1"/>
  <c r="D126" i="5"/>
  <c r="R126" i="5"/>
  <c r="D125" i="5"/>
  <c r="R125" i="5" s="1"/>
  <c r="D124" i="5"/>
  <c r="R124" i="5" s="1"/>
  <c r="D123" i="5"/>
  <c r="R123" i="5" s="1"/>
  <c r="D122" i="5"/>
  <c r="R122" i="5" s="1"/>
  <c r="D121" i="5"/>
  <c r="R121" i="5" s="1"/>
  <c r="D120" i="5"/>
  <c r="R120" i="5" s="1"/>
  <c r="D119" i="5"/>
  <c r="R119" i="5" s="1"/>
  <c r="D118" i="5"/>
  <c r="R118" i="5"/>
  <c r="D117" i="5"/>
  <c r="R117" i="5" s="1"/>
  <c r="D116" i="5"/>
  <c r="R116" i="5" s="1"/>
  <c r="D115" i="5"/>
  <c r="R115" i="5" s="1"/>
  <c r="D114" i="5"/>
  <c r="R114" i="5" s="1"/>
  <c r="D113" i="5"/>
  <c r="R113" i="5" s="1"/>
  <c r="D112" i="5"/>
  <c r="R112" i="5" s="1"/>
  <c r="D111" i="5"/>
  <c r="R111" i="5" s="1"/>
  <c r="D110" i="5"/>
  <c r="R110" i="5" s="1"/>
  <c r="D109" i="5"/>
  <c r="R109" i="5" s="1"/>
  <c r="D108" i="5"/>
  <c r="R108" i="5"/>
  <c r="D107" i="5"/>
  <c r="R107" i="5" s="1"/>
  <c r="D106" i="5"/>
  <c r="R106" i="5" s="1"/>
  <c r="D105" i="5"/>
  <c r="R105" i="5" s="1"/>
  <c r="D104" i="5"/>
  <c r="R104" i="5" s="1"/>
  <c r="D103" i="5"/>
  <c r="R103" i="5" s="1"/>
  <c r="D102" i="5"/>
  <c r="R102" i="5" s="1"/>
  <c r="D101" i="5"/>
  <c r="R101" i="5" s="1"/>
  <c r="D100" i="5"/>
  <c r="R100" i="5"/>
  <c r="D99" i="5"/>
  <c r="R99" i="5" s="1"/>
  <c r="D98" i="5"/>
  <c r="R98" i="5" s="1"/>
  <c r="D97" i="5"/>
  <c r="R97" i="5" s="1"/>
  <c r="D96" i="5"/>
  <c r="R96" i="5" s="1"/>
  <c r="D95" i="5"/>
  <c r="R95" i="5" s="1"/>
  <c r="D94" i="5"/>
  <c r="R94" i="5" s="1"/>
  <c r="D93" i="5"/>
  <c r="R93" i="5" s="1"/>
  <c r="D92" i="5"/>
  <c r="R92" i="5"/>
  <c r="D91" i="5"/>
  <c r="R91" i="5" s="1"/>
  <c r="D90" i="5"/>
  <c r="R90" i="5" s="1"/>
  <c r="D89" i="5"/>
  <c r="R89" i="5" s="1"/>
  <c r="D88" i="5"/>
  <c r="R88" i="5" s="1"/>
  <c r="D87" i="5"/>
  <c r="R87" i="5" s="1"/>
  <c r="D86" i="5"/>
  <c r="R86" i="5" s="1"/>
  <c r="D85" i="5"/>
  <c r="R85" i="5" s="1"/>
  <c r="D84" i="5"/>
  <c r="R84" i="5"/>
  <c r="D83" i="5"/>
  <c r="R83" i="5" s="1"/>
  <c r="D82" i="5"/>
  <c r="R82" i="5" s="1"/>
  <c r="D81" i="5"/>
  <c r="R81" i="5" s="1"/>
  <c r="D80" i="5"/>
  <c r="R80" i="5" s="1"/>
  <c r="D79" i="5"/>
  <c r="R79" i="5" s="1"/>
  <c r="D78" i="5"/>
  <c r="R78" i="5" s="1"/>
  <c r="D77" i="5"/>
  <c r="R77" i="5" s="1"/>
  <c r="D76" i="5"/>
  <c r="R76" i="5"/>
  <c r="D75" i="5"/>
  <c r="R75" i="5" s="1"/>
  <c r="D74" i="5"/>
  <c r="R74" i="5" s="1"/>
  <c r="D73" i="5"/>
  <c r="R73" i="5" s="1"/>
  <c r="D72" i="5"/>
  <c r="R72" i="5" s="1"/>
  <c r="D71" i="5"/>
  <c r="R71" i="5" s="1"/>
  <c r="D70" i="5"/>
  <c r="R70" i="5" s="1"/>
  <c r="D69" i="5"/>
  <c r="R69" i="5" s="1"/>
  <c r="D68" i="5"/>
  <c r="R68" i="5"/>
  <c r="D67" i="5"/>
  <c r="R67" i="5" s="1"/>
  <c r="D66" i="5"/>
  <c r="R66" i="5" s="1"/>
  <c r="D65" i="5"/>
  <c r="R65" i="5" s="1"/>
  <c r="D64" i="5"/>
  <c r="R64" i="5" s="1"/>
  <c r="D63" i="5"/>
  <c r="R63" i="5" s="1"/>
  <c r="D62" i="5"/>
  <c r="R62" i="5" s="1"/>
  <c r="D61" i="5"/>
  <c r="R61" i="5" s="1"/>
  <c r="D60" i="5"/>
  <c r="R60" i="5"/>
  <c r="D59" i="5"/>
  <c r="R59" i="5" s="1"/>
  <c r="D58" i="5"/>
  <c r="R58" i="5" s="1"/>
  <c r="D57" i="5"/>
  <c r="R57" i="5" s="1"/>
  <c r="D56" i="5"/>
  <c r="R56" i="5" s="1"/>
  <c r="D55" i="5"/>
  <c r="R55" i="5" s="1"/>
  <c r="D54" i="5"/>
  <c r="R54" i="5" s="1"/>
  <c r="D53" i="5"/>
  <c r="R53" i="5" s="1"/>
  <c r="D52" i="5"/>
  <c r="R52" i="5"/>
  <c r="D51" i="5"/>
  <c r="R51" i="5" s="1"/>
  <c r="D50" i="5"/>
  <c r="R50" i="5" s="1"/>
  <c r="D49" i="5"/>
  <c r="R49" i="5" s="1"/>
  <c r="D48" i="5"/>
  <c r="R48" i="5" s="1"/>
  <c r="D47" i="5"/>
  <c r="R47" i="5" s="1"/>
  <c r="D46" i="5"/>
  <c r="R46" i="5" s="1"/>
  <c r="D45" i="5"/>
  <c r="R45" i="5" s="1"/>
  <c r="D44" i="5"/>
  <c r="R44" i="5"/>
  <c r="D43" i="5"/>
  <c r="R43" i="5" s="1"/>
  <c r="D42" i="5"/>
  <c r="R42" i="5" s="1"/>
  <c r="D41" i="5"/>
  <c r="R41" i="5" s="1"/>
  <c r="D40" i="5"/>
  <c r="R40" i="5" s="1"/>
  <c r="D39" i="5"/>
  <c r="R39" i="5" s="1"/>
  <c r="D38" i="5"/>
  <c r="R38" i="5" s="1"/>
  <c r="D37" i="5"/>
  <c r="R37" i="5" s="1"/>
  <c r="D36" i="5"/>
  <c r="R36" i="5"/>
  <c r="D35" i="5"/>
  <c r="R35" i="5" s="1"/>
  <c r="D34" i="5"/>
  <c r="R34" i="5" s="1"/>
  <c r="D33" i="5"/>
  <c r="R33" i="5" s="1"/>
  <c r="D32" i="5"/>
  <c r="R32" i="5" s="1"/>
  <c r="D31" i="5"/>
  <c r="R31" i="5" s="1"/>
  <c r="D30" i="5"/>
  <c r="R30" i="5" s="1"/>
  <c r="D29" i="5"/>
  <c r="R29" i="5" s="1"/>
  <c r="D28" i="5"/>
  <c r="R28" i="5"/>
  <c r="D27" i="5"/>
  <c r="R27" i="5" s="1"/>
  <c r="D26" i="5"/>
  <c r="R26" i="5" s="1"/>
  <c r="D25" i="5"/>
  <c r="R25" i="5" s="1"/>
  <c r="D24" i="5"/>
  <c r="R24" i="5" s="1"/>
  <c r="D23" i="5"/>
  <c r="R23" i="5" s="1"/>
  <c r="D22" i="5"/>
  <c r="R22" i="5" s="1"/>
  <c r="D21" i="5"/>
  <c r="R21" i="5" s="1"/>
  <c r="D20" i="5"/>
  <c r="R20" i="5"/>
  <c r="D19" i="5"/>
  <c r="R19" i="5" s="1"/>
  <c r="D18" i="5"/>
  <c r="R18" i="5" s="1"/>
  <c r="D17" i="5"/>
  <c r="R17" i="5" s="1"/>
  <c r="D16" i="5"/>
  <c r="R16" i="5" s="1"/>
  <c r="D15" i="5"/>
  <c r="R15" i="5" s="1"/>
  <c r="D14" i="5"/>
  <c r="R14" i="5" s="1"/>
  <c r="D13" i="5"/>
  <c r="R13" i="5" s="1"/>
  <c r="D12" i="5"/>
  <c r="R12" i="5"/>
  <c r="D11" i="5"/>
  <c r="R11" i="5" s="1"/>
  <c r="D10" i="5"/>
  <c r="R10" i="5" s="1"/>
  <c r="D9" i="5"/>
  <c r="R9" i="5" s="1"/>
  <c r="D8" i="5"/>
  <c r="R8" i="5" s="1"/>
  <c r="D7" i="5"/>
  <c r="R7" i="5" s="1"/>
  <c r="D6" i="5"/>
  <c r="R6" i="5" s="1"/>
  <c r="D5" i="5"/>
  <c r="R5" i="5" s="1"/>
  <c r="C12" i="14"/>
  <c r="C13" i="14" s="1"/>
  <c r="B9" i="14"/>
  <c r="D8" i="14"/>
  <c r="D14" i="14"/>
  <c r="D15" i="14" s="1"/>
  <c r="E14" i="14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P5" i="2"/>
  <c r="P465" i="2"/>
  <c r="P9" i="2"/>
  <c r="I4" i="2"/>
  <c r="N4" i="2" s="1"/>
  <c r="H4" i="2"/>
  <c r="G4" i="2"/>
  <c r="A2" i="2"/>
  <c r="P6" i="2"/>
  <c r="P421" i="2"/>
  <c r="P420" i="2"/>
  <c r="P419" i="2"/>
  <c r="P418" i="2"/>
  <c r="P417" i="2"/>
  <c r="P416" i="2"/>
  <c r="P415" i="2"/>
  <c r="P414" i="2"/>
  <c r="P413" i="2"/>
  <c r="P412" i="2"/>
  <c r="P411" i="2"/>
  <c r="P410" i="2"/>
  <c r="P409" i="2"/>
  <c r="P408" i="2"/>
  <c r="P407" i="2"/>
  <c r="P406" i="2"/>
  <c r="P405" i="2"/>
  <c r="P404" i="2"/>
  <c r="P403" i="2"/>
  <c r="P402" i="2"/>
  <c r="P401" i="2"/>
  <c r="P400" i="2"/>
  <c r="P399" i="2"/>
  <c r="P398" i="2"/>
  <c r="P397" i="2"/>
  <c r="P396" i="2"/>
  <c r="P395" i="2"/>
  <c r="P394" i="2"/>
  <c r="P393" i="2"/>
  <c r="P392" i="2"/>
  <c r="P391" i="2"/>
  <c r="P390" i="2"/>
  <c r="P389" i="2"/>
  <c r="P388" i="2"/>
  <c r="P387" i="2"/>
  <c r="P386" i="2"/>
  <c r="P385" i="2"/>
  <c r="P384" i="2"/>
  <c r="P383" i="2"/>
  <c r="P382" i="2"/>
  <c r="P381" i="2"/>
  <c r="P380" i="2"/>
  <c r="P379" i="2"/>
  <c r="P378" i="2"/>
  <c r="P377" i="2"/>
  <c r="P376" i="2"/>
  <c r="P375" i="2"/>
  <c r="P374" i="2"/>
  <c r="P373" i="2"/>
  <c r="P372" i="2"/>
  <c r="P371" i="2"/>
  <c r="P370" i="2"/>
  <c r="P369" i="2"/>
  <c r="P368" i="2"/>
  <c r="P367" i="2"/>
  <c r="P366" i="2"/>
  <c r="P365" i="2"/>
  <c r="P364" i="2"/>
  <c r="P363" i="2"/>
  <c r="P362" i="2"/>
  <c r="P361" i="2"/>
  <c r="P360" i="2"/>
  <c r="P359" i="2"/>
  <c r="P358" i="2"/>
  <c r="P357" i="2"/>
  <c r="P356" i="2"/>
  <c r="P355" i="2"/>
  <c r="P354" i="2"/>
  <c r="P353" i="2"/>
  <c r="P352" i="2"/>
  <c r="P351" i="2"/>
  <c r="P350" i="2"/>
  <c r="P349" i="2"/>
  <c r="P348" i="2"/>
  <c r="P347" i="2"/>
  <c r="P346" i="2"/>
  <c r="P345" i="2"/>
  <c r="P344" i="2"/>
  <c r="P343" i="2"/>
  <c r="P342" i="2"/>
  <c r="P341" i="2"/>
  <c r="P340" i="2"/>
  <c r="P339" i="2"/>
  <c r="P338" i="2"/>
  <c r="P337" i="2"/>
  <c r="P336" i="2"/>
  <c r="P335" i="2"/>
  <c r="P334" i="2"/>
  <c r="P333" i="2"/>
  <c r="P332" i="2"/>
  <c r="P331" i="2"/>
  <c r="P330" i="2"/>
  <c r="P329" i="2"/>
  <c r="P328" i="2"/>
  <c r="P327" i="2"/>
  <c r="P326" i="2"/>
  <c r="P325" i="2"/>
  <c r="P324" i="2"/>
  <c r="P323" i="2"/>
  <c r="P322" i="2"/>
  <c r="P321" i="2"/>
  <c r="P320" i="2"/>
  <c r="P319" i="2"/>
  <c r="P318" i="2"/>
  <c r="P317" i="2"/>
  <c r="P316" i="2"/>
  <c r="P315" i="2"/>
  <c r="P314" i="2"/>
  <c r="P313" i="2"/>
  <c r="P312" i="2"/>
  <c r="P311" i="2"/>
  <c r="P310" i="2"/>
  <c r="P309" i="2"/>
  <c r="P308" i="2"/>
  <c r="P307" i="2"/>
  <c r="P306" i="2"/>
  <c r="P305" i="2"/>
  <c r="P304" i="2"/>
  <c r="P303" i="2"/>
  <c r="P302" i="2"/>
  <c r="P301" i="2"/>
  <c r="P300" i="2"/>
  <c r="P299" i="2"/>
  <c r="P298" i="2"/>
  <c r="P297" i="2"/>
  <c r="P296" i="2"/>
  <c r="P295" i="2"/>
  <c r="P294" i="2"/>
  <c r="P293" i="2"/>
  <c r="P292" i="2"/>
  <c r="P291" i="2"/>
  <c r="P290" i="2"/>
  <c r="P289" i="2"/>
  <c r="P288" i="2"/>
  <c r="P287" i="2"/>
  <c r="P286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8" i="2"/>
  <c r="P7" i="2"/>
  <c r="P504" i="2"/>
  <c r="P503" i="2"/>
  <c r="P502" i="2"/>
  <c r="P501" i="2"/>
  <c r="P500" i="2"/>
  <c r="P499" i="2"/>
  <c r="P498" i="2"/>
  <c r="P497" i="2"/>
  <c r="P496" i="2"/>
  <c r="P495" i="2"/>
  <c r="P494" i="2"/>
  <c r="P493" i="2"/>
  <c r="P492" i="2"/>
  <c r="P491" i="2"/>
  <c r="P490" i="2"/>
  <c r="P489" i="2"/>
  <c r="P488" i="2"/>
  <c r="P487" i="2"/>
  <c r="P486" i="2"/>
  <c r="P485" i="2"/>
  <c r="P484" i="2"/>
  <c r="P483" i="2"/>
  <c r="P482" i="2"/>
  <c r="P481" i="2"/>
  <c r="P480" i="2"/>
  <c r="P479" i="2"/>
  <c r="P478" i="2"/>
  <c r="P477" i="2"/>
  <c r="P476" i="2"/>
  <c r="P475" i="2"/>
  <c r="P474" i="2"/>
  <c r="P473" i="2"/>
  <c r="P472" i="2"/>
  <c r="P471" i="2"/>
  <c r="P470" i="2"/>
  <c r="P469" i="2"/>
  <c r="P468" i="2"/>
  <c r="P467" i="2"/>
  <c r="P466" i="2"/>
  <c r="P464" i="2"/>
  <c r="P463" i="2"/>
  <c r="P462" i="2"/>
  <c r="P461" i="2"/>
  <c r="P460" i="2"/>
  <c r="P459" i="2"/>
  <c r="P458" i="2"/>
  <c r="P457" i="2"/>
  <c r="P456" i="2"/>
  <c r="P455" i="2"/>
  <c r="P454" i="2"/>
  <c r="P453" i="2"/>
  <c r="P452" i="2"/>
  <c r="P451" i="2"/>
  <c r="P450" i="2"/>
  <c r="P449" i="2"/>
  <c r="P448" i="2"/>
  <c r="P447" i="2"/>
  <c r="P446" i="2"/>
  <c r="P445" i="2"/>
  <c r="P444" i="2"/>
  <c r="P443" i="2"/>
  <c r="P442" i="2"/>
  <c r="P441" i="2"/>
  <c r="P440" i="2"/>
  <c r="P439" i="2"/>
  <c r="P438" i="2"/>
  <c r="P437" i="2"/>
  <c r="P436" i="2"/>
  <c r="P435" i="2"/>
  <c r="P434" i="2"/>
  <c r="P433" i="2"/>
  <c r="P432" i="2"/>
  <c r="P431" i="2"/>
  <c r="P430" i="2"/>
  <c r="P429" i="2"/>
  <c r="P428" i="2"/>
  <c r="P427" i="2"/>
  <c r="P426" i="2"/>
  <c r="P425" i="2"/>
  <c r="P424" i="2"/>
  <c r="P423" i="2"/>
  <c r="P422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47" i="10"/>
  <c r="F48" i="10"/>
  <c r="F49" i="10"/>
  <c r="F51" i="10"/>
  <c r="F52" i="10"/>
  <c r="F53" i="10"/>
  <c r="F55" i="10"/>
  <c r="F56" i="10"/>
  <c r="F57" i="10"/>
  <c r="F31" i="10"/>
  <c r="F32" i="10"/>
  <c r="F33" i="10"/>
  <c r="F35" i="10"/>
  <c r="F36" i="10"/>
  <c r="F37" i="10"/>
  <c r="F40" i="10"/>
  <c r="F41" i="10"/>
  <c r="F18" i="10"/>
  <c r="F19" i="10"/>
  <c r="F21" i="10"/>
  <c r="F22" i="10"/>
  <c r="F24" i="10"/>
  <c r="F25" i="10"/>
  <c r="F11" i="10"/>
  <c r="F12" i="10"/>
  <c r="F6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26" i="10"/>
  <c r="C25" i="10"/>
  <c r="C24" i="10"/>
  <c r="C23" i="10"/>
  <c r="C22" i="10"/>
  <c r="C21" i="10"/>
  <c r="C20" i="10"/>
  <c r="C19" i="10"/>
  <c r="C18" i="10"/>
  <c r="E13" i="10"/>
  <c r="F10" i="10"/>
  <c r="E10" i="10"/>
  <c r="B6" i="13"/>
  <c r="D6" i="13" s="1"/>
  <c r="B5" i="13"/>
  <c r="D5" i="13" s="1"/>
  <c r="B14" i="13"/>
  <c r="E19" i="13"/>
  <c r="D14" i="13"/>
  <c r="B13" i="13"/>
  <c r="D13" i="13" s="1"/>
  <c r="B12" i="13"/>
  <c r="D12" i="13" s="1"/>
  <c r="B11" i="13"/>
  <c r="D11" i="13" s="1"/>
  <c r="B10" i="13"/>
  <c r="D10" i="13" s="1"/>
  <c r="H8" i="8"/>
  <c r="H9" i="8"/>
  <c r="A24" i="12"/>
  <c r="A4" i="12"/>
  <c r="A38" i="12"/>
  <c r="A39" i="12" s="1"/>
  <c r="A36" i="12"/>
  <c r="A31" i="12"/>
  <c r="A30" i="12"/>
  <c r="A26" i="12"/>
  <c r="A22" i="12"/>
  <c r="A18" i="12"/>
  <c r="A19" i="12" s="1"/>
  <c r="A16" i="12"/>
  <c r="A11" i="12"/>
  <c r="A10" i="12"/>
  <c r="A6" i="12"/>
  <c r="A2" i="12"/>
  <c r="H39" i="12"/>
  <c r="E47" i="7"/>
  <c r="E48" i="7" s="1"/>
  <c r="E50" i="7" s="1"/>
  <c r="K50" i="7" s="1"/>
  <c r="E35" i="7"/>
  <c r="F35" i="7" s="1"/>
  <c r="K35" i="7" s="1"/>
  <c r="E33" i="7"/>
  <c r="F33" i="7" s="1"/>
  <c r="K33" i="7" s="1"/>
  <c r="E31" i="7"/>
  <c r="F31" i="7" s="1"/>
  <c r="K31" i="7" s="1"/>
  <c r="E29" i="7"/>
  <c r="F29" i="7" s="1"/>
  <c r="K29" i="7" s="1"/>
  <c r="F57" i="6"/>
  <c r="E69" i="6" s="1"/>
  <c r="E45" i="7" s="1"/>
  <c r="E38" i="7"/>
  <c r="F38" i="7" s="1"/>
  <c r="K38" i="7" s="1"/>
  <c r="E37" i="7"/>
  <c r="F37" i="7" s="1"/>
  <c r="K37" i="7" s="1"/>
  <c r="E36" i="7"/>
  <c r="F36" i="7" s="1"/>
  <c r="K36" i="7" s="1"/>
  <c r="E32" i="7"/>
  <c r="F32" i="7" s="1"/>
  <c r="K32" i="7" s="1"/>
  <c r="E28" i="7"/>
  <c r="F28" i="7" s="1"/>
  <c r="K28" i="7" s="1"/>
  <c r="D9" i="9"/>
  <c r="D15" i="9" s="1"/>
  <c r="D16" i="9"/>
  <c r="D18" i="9"/>
  <c r="C9" i="9"/>
  <c r="C6" i="9"/>
  <c r="D5" i="17"/>
  <c r="I4" i="5"/>
  <c r="N4" i="5" s="1"/>
  <c r="H4" i="5"/>
  <c r="G4" i="5"/>
  <c r="A2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31" i="6"/>
  <c r="E77" i="6" s="1"/>
  <c r="D78" i="6"/>
  <c r="F30" i="6"/>
  <c r="D77" i="6"/>
  <c r="F65" i="6"/>
  <c r="F33" i="6"/>
  <c r="F35" i="6"/>
  <c r="F37" i="6"/>
  <c r="F38" i="6"/>
  <c r="F39" i="6"/>
  <c r="F41" i="6"/>
  <c r="F43" i="6"/>
  <c r="F44" i="6"/>
  <c r="F45" i="6"/>
  <c r="F47" i="6"/>
  <c r="F49" i="6"/>
  <c r="F50" i="6"/>
  <c r="F51" i="6"/>
  <c r="F52" i="6"/>
  <c r="F53" i="6"/>
  <c r="F26" i="6"/>
  <c r="K26" i="6" s="1"/>
  <c r="F25" i="6"/>
  <c r="K25" i="6" s="1"/>
  <c r="F24" i="6"/>
  <c r="K24" i="6" s="1"/>
  <c r="F23" i="6"/>
  <c r="K23" i="6" s="1"/>
  <c r="F22" i="6"/>
  <c r="K22" i="6" s="1"/>
  <c r="F21" i="6"/>
  <c r="K21" i="6" s="1"/>
  <c r="F20" i="6"/>
  <c r="K20" i="6" s="1"/>
  <c r="F19" i="6"/>
  <c r="K19" i="6" s="1"/>
  <c r="F18" i="6"/>
  <c r="K18" i="6" s="1"/>
  <c r="F17" i="6"/>
  <c r="K17" i="6" s="1"/>
  <c r="F16" i="6"/>
  <c r="K16" i="6" s="1"/>
  <c r="F15" i="6"/>
  <c r="K15" i="6" s="1"/>
  <c r="F14" i="6"/>
  <c r="K14" i="6" s="1"/>
  <c r="F13" i="6"/>
  <c r="K13" i="6" s="1"/>
  <c r="F12" i="6"/>
  <c r="K12" i="6" s="1"/>
  <c r="E71" i="6"/>
  <c r="E72" i="6" s="1"/>
  <c r="C77" i="6"/>
  <c r="C78" i="6"/>
  <c r="B78" i="6"/>
  <c r="B77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30" i="6"/>
  <c r="E11" i="6"/>
  <c r="E29" i="6" s="1"/>
  <c r="F11" i="6"/>
  <c r="F29" i="6" s="1"/>
  <c r="D11" i="6"/>
  <c r="D29" i="6" s="1"/>
  <c r="C29" i="6"/>
  <c r="B29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12" i="6"/>
  <c r="E57" i="6"/>
  <c r="D57" i="6"/>
  <c r="F77" i="6" l="1"/>
  <c r="K77" i="6" s="1"/>
  <c r="F14" i="14"/>
  <c r="K14" i="14" s="1"/>
  <c r="B23" i="11"/>
  <c r="B24" i="11" s="1"/>
  <c r="B25" i="11" s="1"/>
  <c r="B36" i="11"/>
  <c r="D17" i="9"/>
  <c r="D19" i="9" s="1"/>
  <c r="E16" i="16"/>
  <c r="D16" i="16"/>
  <c r="F13" i="13"/>
  <c r="G13" i="13" s="1"/>
  <c r="K13" i="13" s="1"/>
  <c r="E64" i="6"/>
  <c r="E31" i="16"/>
  <c r="I31" i="11"/>
  <c r="D18" i="13" s="1"/>
  <c r="E60" i="6"/>
  <c r="D10" i="15"/>
  <c r="K10" i="15" s="1"/>
  <c r="D63" i="6"/>
  <c r="D11" i="15"/>
  <c r="K11" i="15" s="1"/>
  <c r="F8" i="10"/>
  <c r="J8" i="10" s="1"/>
  <c r="E39" i="16"/>
  <c r="F31" i="12"/>
  <c r="E70" i="6"/>
  <c r="D59" i="6"/>
  <c r="F20" i="10"/>
  <c r="F23" i="10" s="1"/>
  <c r="F34" i="10"/>
  <c r="F38" i="10" s="1"/>
  <c r="F61" i="6"/>
  <c r="F8" i="9"/>
  <c r="H10" i="8"/>
  <c r="K10" i="8" s="1"/>
  <c r="F11" i="12"/>
  <c r="F14" i="13"/>
  <c r="G14" i="13" s="1"/>
  <c r="K14" i="13" s="1"/>
  <c r="D37" i="16"/>
  <c r="F11" i="13"/>
  <c r="G11" i="13" s="1"/>
  <c r="K11" i="13" s="1"/>
  <c r="F10" i="13"/>
  <c r="G10" i="13" s="1"/>
  <c r="K10" i="13" s="1"/>
  <c r="F12" i="13"/>
  <c r="G12" i="13" s="1"/>
  <c r="K12" i="13" s="1"/>
  <c r="E13" i="14"/>
  <c r="G10" i="9" s="1"/>
  <c r="D15" i="16"/>
  <c r="F6" i="13"/>
  <c r="G6" i="13" s="1"/>
  <c r="K6" i="13" s="1"/>
  <c r="F5" i="13"/>
  <c r="G5" i="13" s="1"/>
  <c r="K5" i="13" s="1"/>
  <c r="D17" i="16"/>
  <c r="N505" i="2"/>
  <c r="F10" i="12"/>
  <c r="F13" i="10"/>
  <c r="J13" i="10" s="1"/>
  <c r="F50" i="10"/>
  <c r="J50" i="10" s="1"/>
  <c r="E35" i="16"/>
  <c r="D31" i="16"/>
  <c r="F30" i="12"/>
  <c r="E33" i="16"/>
  <c r="D29" i="16"/>
  <c r="E37" i="16"/>
  <c r="E29" i="16"/>
  <c r="D33" i="16"/>
  <c r="F14" i="12"/>
  <c r="J34" i="10"/>
  <c r="F7" i="9"/>
  <c r="H7" i="9" s="1"/>
  <c r="K7" i="9" s="1"/>
  <c r="D8" i="15"/>
  <c r="K8" i="15" s="1"/>
  <c r="I45" i="11"/>
  <c r="D19" i="13" s="1"/>
  <c r="F19" i="13" s="1"/>
  <c r="K19" i="13" s="1"/>
  <c r="E58" i="6"/>
  <c r="D61" i="6"/>
  <c r="F63" i="6"/>
  <c r="D9" i="14"/>
  <c r="D13" i="14" s="1"/>
  <c r="D12" i="14"/>
  <c r="E19" i="16"/>
  <c r="E41" i="16" s="1"/>
  <c r="E15" i="14"/>
  <c r="F15" i="14" s="1"/>
  <c r="K15" i="14" s="1"/>
  <c r="D35" i="16"/>
  <c r="D12" i="11"/>
  <c r="E32" i="16"/>
  <c r="E36" i="16"/>
  <c r="E46" i="7"/>
  <c r="F34" i="12"/>
  <c r="E30" i="16"/>
  <c r="E34" i="16"/>
  <c r="E38" i="16"/>
  <c r="F46" i="6"/>
  <c r="E30" i="7"/>
  <c r="F30" i="7" s="1"/>
  <c r="K30" i="7" s="1"/>
  <c r="N505" i="5"/>
  <c r="E18" i="13"/>
  <c r="F18" i="13" s="1"/>
  <c r="K18" i="13" s="1"/>
  <c r="F64" i="6"/>
  <c r="E63" i="6"/>
  <c r="D62" i="6"/>
  <c r="F60" i="6"/>
  <c r="E59" i="6"/>
  <c r="D58" i="6"/>
  <c r="F10" i="9"/>
  <c r="E65" i="6"/>
  <c r="D64" i="6"/>
  <c r="G64" i="6" s="1"/>
  <c r="K64" i="6" s="1"/>
  <c r="F62" i="6"/>
  <c r="E61" i="6"/>
  <c r="D60" i="6"/>
  <c r="F58" i="6"/>
  <c r="F59" i="6"/>
  <c r="E62" i="6"/>
  <c r="D65" i="6"/>
  <c r="D4" i="17"/>
  <c r="D6" i="17" s="1"/>
  <c r="K6" i="17" s="1"/>
  <c r="K19" i="9"/>
  <c r="E17" i="16"/>
  <c r="E15" i="16"/>
  <c r="E12" i="14"/>
  <c r="G8" i="9" s="1"/>
  <c r="H8" i="9" s="1"/>
  <c r="K8" i="9" s="1"/>
  <c r="D19" i="16"/>
  <c r="D41" i="16" s="1"/>
  <c r="D9" i="15"/>
  <c r="K9" i="15" s="1"/>
  <c r="F13" i="12"/>
  <c r="F33" i="12"/>
  <c r="D30" i="16"/>
  <c r="D34" i="16"/>
  <c r="D38" i="16"/>
  <c r="D32" i="16"/>
  <c r="D36" i="16"/>
  <c r="E39" i="7"/>
  <c r="F39" i="7" s="1"/>
  <c r="K39" i="7" s="1"/>
  <c r="F32" i="6"/>
  <c r="E34" i="7"/>
  <c r="F34" i="7" s="1"/>
  <c r="K34" i="7" s="1"/>
  <c r="K45" i="6" l="1"/>
  <c r="B26" i="11"/>
  <c r="B40" i="11" s="1"/>
  <c r="B39" i="11"/>
  <c r="B37" i="11"/>
  <c r="G63" i="6"/>
  <c r="K63" i="6" s="1"/>
  <c r="G60" i="6"/>
  <c r="K60" i="6" s="1"/>
  <c r="F54" i="10"/>
  <c r="J54" i="10" s="1"/>
  <c r="G15" i="12"/>
  <c r="G58" i="6"/>
  <c r="K58" i="6" s="1"/>
  <c r="J20" i="10"/>
  <c r="K30" i="6"/>
  <c r="K43" i="6"/>
  <c r="K42" i="6"/>
  <c r="K33" i="6"/>
  <c r="F8" i="12"/>
  <c r="K49" i="6"/>
  <c r="K51" i="6"/>
  <c r="E40" i="16"/>
  <c r="E42" i="16" s="1"/>
  <c r="G12" i="12"/>
  <c r="K40" i="6"/>
  <c r="F28" i="12"/>
  <c r="K31" i="6"/>
  <c r="G32" i="12"/>
  <c r="E18" i="16"/>
  <c r="E20" i="16" s="1"/>
  <c r="G59" i="6"/>
  <c r="K59" i="6" s="1"/>
  <c r="K32" i="6"/>
  <c r="K52" i="6"/>
  <c r="K41" i="6"/>
  <c r="D18" i="16"/>
  <c r="D20" i="16" s="1"/>
  <c r="F13" i="14"/>
  <c r="K13" i="14" s="1"/>
  <c r="F12" i="14"/>
  <c r="K12" i="14" s="1"/>
  <c r="B38" i="11"/>
  <c r="D40" i="16"/>
  <c r="D42" i="16" s="1"/>
  <c r="F42" i="10"/>
  <c r="J42" i="10" s="1"/>
  <c r="J38" i="10"/>
  <c r="G65" i="6"/>
  <c r="K65" i="6" s="1"/>
  <c r="K46" i="6"/>
  <c r="K48" i="6"/>
  <c r="K47" i="6"/>
  <c r="F58" i="10"/>
  <c r="J58" i="10" s="1"/>
  <c r="E78" i="6"/>
  <c r="F78" i="6" s="1"/>
  <c r="K78" i="6" s="1"/>
  <c r="K50" i="6"/>
  <c r="K44" i="6"/>
  <c r="K39" i="6"/>
  <c r="K34" i="6"/>
  <c r="F27" i="12"/>
  <c r="G35" i="12"/>
  <c r="K35" i="6"/>
  <c r="H10" i="9"/>
  <c r="K10" i="9" s="1"/>
  <c r="G62" i="6"/>
  <c r="K62" i="6" s="1"/>
  <c r="F26" i="10"/>
  <c r="J26" i="10" s="1"/>
  <c r="J23" i="10"/>
  <c r="G61" i="6"/>
  <c r="K61" i="6" s="1"/>
  <c r="K38" i="6"/>
  <c r="K36" i="6"/>
  <c r="K37" i="6"/>
  <c r="K53" i="6"/>
  <c r="F7" i="12"/>
  <c r="B27" i="11" l="1"/>
  <c r="J42" i="16"/>
  <c r="J20" i="16"/>
  <c r="B28" i="11"/>
  <c r="B41" i="11"/>
  <c r="G29" i="12"/>
  <c r="H36" i="12" s="1"/>
  <c r="H38" i="12" s="1"/>
  <c r="H40" i="12" s="1"/>
  <c r="K40" i="12" s="1"/>
  <c r="G9" i="12"/>
  <c r="H16" i="12" s="1"/>
  <c r="H18" i="12" s="1"/>
  <c r="H20" i="12" s="1"/>
  <c r="K20" i="12" s="1"/>
  <c r="B29" i="11" l="1"/>
  <c r="B42" i="11"/>
  <c r="B30" i="11" l="1"/>
  <c r="B44" i="11" s="1"/>
  <c r="B43" i="11"/>
</calcChain>
</file>

<file path=xl/comments1.xml><?xml version="1.0" encoding="utf-8"?>
<comments xmlns="http://schemas.openxmlformats.org/spreadsheetml/2006/main">
  <authors>
    <author>VERHEYDEN</author>
  </authors>
  <commentList>
    <comment ref="A4" authorId="0" shapeId="0">
      <text>
        <r>
          <rPr>
            <b/>
            <sz val="8"/>
            <color indexed="81"/>
            <rFont val="Tahoma"/>
            <family val="2"/>
          </rPr>
          <t>Exercice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" authorId="0" shapeId="0">
      <text>
        <r>
          <rPr>
            <b/>
            <sz val="8"/>
            <color indexed="81"/>
            <rFont val="Tahoma"/>
            <family val="2"/>
          </rPr>
          <t xml:space="preserve">Code Économique
</t>
        </r>
      </text>
    </comment>
  </commentList>
</comments>
</file>

<file path=xl/comments2.xml><?xml version="1.0" encoding="utf-8"?>
<comments xmlns="http://schemas.openxmlformats.org/spreadsheetml/2006/main">
  <authors>
    <author>VERHEYDEN</author>
  </authors>
  <commentList>
    <comment ref="A4" authorId="0" shapeId="0">
      <text>
        <r>
          <rPr>
            <b/>
            <sz val="8"/>
            <color indexed="81"/>
            <rFont val="Tahoma"/>
            <family val="2"/>
          </rPr>
          <t>exercice budgétaire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</rPr>
          <t>Code Fonctionnel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" authorId="0" shapeId="0">
      <text>
        <r>
          <rPr>
            <b/>
            <sz val="8"/>
            <color indexed="81"/>
            <rFont val="Tahoma"/>
            <family val="2"/>
          </rPr>
          <t>Code Économique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<sst xmlns="http://schemas.openxmlformats.org/spreadsheetml/2006/main" count="1202" uniqueCount="986">
  <si>
    <t>Interventions dans les primes syndicales</t>
  </si>
  <si>
    <t>Contribution dans les appointements du personnel enseignant des autres  institutions</t>
  </si>
  <si>
    <t>Contribution dans les charges de pension du personnel enseignant des autres institutions</t>
  </si>
  <si>
    <t>Contribution dans les frais de fonctionnement de l'enseignement des autres instances gouvernementales</t>
  </si>
  <si>
    <t>Contribution aux charges d'intérêts des autres institutions</t>
  </si>
  <si>
    <t>Contribution aux frais de fonctionnement supportés par les autres institutions</t>
  </si>
  <si>
    <t>Contribution dans le déficit des hôpitaux publics</t>
  </si>
  <si>
    <t>Contribution au traitement des enseignants (écoles libres)</t>
  </si>
  <si>
    <t>Contribution dans la pension des enseignants (écoles libres)</t>
  </si>
  <si>
    <t>Avantages sociaux pour les écoles libres</t>
  </si>
  <si>
    <t>Autres avantages et subsides spécifiques aux écoles libres</t>
  </si>
  <si>
    <t>Subsides aux institutions scientifiques</t>
  </si>
  <si>
    <t>Subsides aux institutions publiques (personnalité juridique)</t>
  </si>
  <si>
    <t>Subside de l'État pour le traitement des enseignants</t>
  </si>
  <si>
    <t>Contribution de  État dans les pensions du personnel enseignant</t>
  </si>
  <si>
    <t>Subside de État dans les frais de fonctionnement des écoles</t>
  </si>
  <si>
    <t>Subside de État dans les fournitures scolaires</t>
  </si>
  <si>
    <t>Remboursement des charges d'intérêts d'emprunts par État</t>
  </si>
  <si>
    <t>Subside de État dans les frais de fonctionnement</t>
  </si>
  <si>
    <t>Subside de État dans les frais de personnel</t>
  </si>
  <si>
    <t>Subside de État pour la délivrance de permis de conduire</t>
  </si>
  <si>
    <t>Subside de État dans les frais de recensements divers</t>
  </si>
  <si>
    <t>Subside de État pour le personnel subsidié (ACS)</t>
  </si>
  <si>
    <t>Subside de État dans les rétributions du personnel détaché</t>
  </si>
  <si>
    <t>Autres subsides spécifiques de État</t>
  </si>
  <si>
    <t>Fonds des communes (dédiés à la zone de police)</t>
  </si>
  <si>
    <t>Fonds complémentaires pour recettes garanties</t>
  </si>
  <si>
    <t>Fonds d'assistance exceptionnelle</t>
  </si>
  <si>
    <t>Aide pour pension complément de recettes</t>
  </si>
  <si>
    <t>Aide exceptionnelle</t>
  </si>
  <si>
    <t xml:space="preserve">Fonds spéciaux des zones de police </t>
  </si>
  <si>
    <t xml:space="preserve">Fonds pour l'intégration </t>
  </si>
  <si>
    <t>Fonds social d'impulsion</t>
  </si>
  <si>
    <t>Indemnités de déplacement</t>
  </si>
  <si>
    <t>Autres contributions de État à des fins générales</t>
  </si>
  <si>
    <t>Indemnités des petits dommages par les autorités supérieures</t>
  </si>
  <si>
    <t>Contribution des autres institutions dans les charges de traitement du personnel enseignant</t>
  </si>
  <si>
    <t>Contribution des autres institutions dans les charges de pension du personnel enseignant</t>
  </si>
  <si>
    <t>Contribution des autres institutions dans les frais de fonctionnement de l'enseignement</t>
  </si>
  <si>
    <t>Contribution des autres institutions dans les frais de fonctionnement</t>
  </si>
  <si>
    <t>Contribution des autres institutions dans les frais de personnel</t>
  </si>
  <si>
    <t>Contribution des autres institutions dans les appointements du personnel détaché</t>
  </si>
  <si>
    <t>Autres contributions spécifiques des autres institutions</t>
  </si>
  <si>
    <t>Indemnités des petits dommages des autres institutions</t>
  </si>
  <si>
    <t>Contributions diverses aux frais du personnel enseignant</t>
  </si>
  <si>
    <t>Contribution des moyens transférés au secteur privé</t>
  </si>
  <si>
    <t>Indemnité  exceptionnelle sur biens immeubles suivant emphytéose aux entreprises</t>
  </si>
  <si>
    <t>Subsides pour investissements divers</t>
  </si>
  <si>
    <t>Primes contribution aux sociétés de logements</t>
  </si>
  <si>
    <t>Contributions aux pertes des entreprises privées</t>
  </si>
  <si>
    <t>Contributions aux dommages de guerre des biens immobiliers</t>
  </si>
  <si>
    <t>Dédommagements extraordinaires divers</t>
  </si>
  <si>
    <t>Contribution exceptionnelle aux entreprises prives et primes d'assurance</t>
  </si>
  <si>
    <t>Cautions à plus d'un an versées en numéraires</t>
  </si>
  <si>
    <t>Indemnité  exceptionnelle sur biens immeubles suivant emphytéose aux particuliers</t>
  </si>
  <si>
    <t>Transferts de capitaux aux ménages</t>
  </si>
  <si>
    <t>Subsides d'investissement aux ASBL au service des ménages</t>
  </si>
  <si>
    <t>Subside d'investissement aux organismes au service des ménages</t>
  </si>
  <si>
    <t>Dédommagements en responsabilité civile de la zone de police</t>
  </si>
  <si>
    <t>Autres dédommagements des ménages</t>
  </si>
  <si>
    <t>Dédommagement reçu en capital des entreprises</t>
  </si>
  <si>
    <t>Participation en capital des entreprises (investissements)</t>
  </si>
  <si>
    <t>Dons en capital non conditionnels reçus des entreprises</t>
  </si>
  <si>
    <t>Récupération des garanties à plus d'un an</t>
  </si>
  <si>
    <t>Dédommagement reçu en capital des ménages</t>
  </si>
  <si>
    <t>Capitaux des ménages pour investissements remboursables</t>
  </si>
  <si>
    <t>Dons et legs en capital des ménages</t>
  </si>
  <si>
    <t>Indemnité  exceptionnelle sur biens immeubles suivant emphytéose aux ménages</t>
  </si>
  <si>
    <t>Contribution des moyens transférés au secteur public</t>
  </si>
  <si>
    <t>Indemnité  exceptionnelle sur biens immeubles suivant emphytéose aux autres institutions</t>
  </si>
  <si>
    <t>Subsides d'investissements accordés à l'État</t>
  </si>
  <si>
    <t>Non-valeurs de subsides en capital accordés par État</t>
  </si>
  <si>
    <t>Subsides en capital pour les terrains et bâtiments scolaires</t>
  </si>
  <si>
    <t>Subsides en capital pour les équipements scolaire</t>
  </si>
  <si>
    <t>Subsides en capital pour bâtiments divers</t>
  </si>
  <si>
    <t>Subisses en capital pour voirie et travaux hydraulique</t>
  </si>
  <si>
    <t>Subsides en capital à des fins spécifiques</t>
  </si>
  <si>
    <t>Non-valeurs subsides en capital des autres pouvoirs publics</t>
  </si>
  <si>
    <t>Subside en capital pour construction des écoles libres</t>
  </si>
  <si>
    <t>Subside en capital pour l'équipement des écoles libres</t>
  </si>
  <si>
    <t>Subside en capital pour l'enseignement scientifique</t>
  </si>
  <si>
    <t>Subsides en capital pour les bâtiments scolaires</t>
  </si>
  <si>
    <t>Subsides en capital pour équipement scolaire</t>
  </si>
  <si>
    <t>Récupération des remboursements d'emprunts à charge de État</t>
  </si>
  <si>
    <t>Subsides en capital pour travaux hydrauliques et de voirie</t>
  </si>
  <si>
    <t>Remboursements des annuités des dommages de guerre 1914-1918</t>
  </si>
  <si>
    <t>Droits de tirage sur les fonds d'investissement</t>
  </si>
  <si>
    <t>Subsides en capital pour investissements spécifiques</t>
  </si>
  <si>
    <t>Récupération du remboursement d'emprunts du déficit du CPAS</t>
  </si>
  <si>
    <t>Récupération du remboursement des emprunts de consolidation</t>
  </si>
  <si>
    <t xml:space="preserve">Indemnité de dédommagement des autorités publiques reçue en capital </t>
  </si>
  <si>
    <t>Indemnité  exceptionnelle sur biens immeubles suivant emphytéose aux autorités supérieures</t>
  </si>
  <si>
    <t>SERVICE PUBLIC FEDERAL INTÉRIEUR</t>
  </si>
  <si>
    <t>DIRECTION GENERALE SERVICE DE LA SECURITE CIVILE</t>
  </si>
  <si>
    <t>DIRECTION JURIDIQUE</t>
  </si>
  <si>
    <t>Subsides en capital des institutions pour terrains &amp; bâtiments scolaires</t>
  </si>
  <si>
    <t>Subsides en capital des institutions pour l'équipement scolaire</t>
  </si>
  <si>
    <t>Subsides en capital des institutions pour les bâtiments</t>
  </si>
  <si>
    <t>Subsides en capital des autres institutions pour travaux hydrauliques et de voirie</t>
  </si>
  <si>
    <t>Subsides en capital des autres institutions pour investissements spécifiques</t>
  </si>
  <si>
    <t xml:space="preserve">Indemnité de dédommagement des autres institutions reçue en capital </t>
  </si>
  <si>
    <t>Non-valeurs diverses relatives au service extraordinaire</t>
  </si>
  <si>
    <t>Remboursement des annulations des droits non perçus du service extraordinaire</t>
  </si>
  <si>
    <t>Notes de crédit du service extraordinaire</t>
  </si>
  <si>
    <t>Achat de terres agricoles</t>
  </si>
  <si>
    <t>Achat de terrains à bâtir non construits</t>
  </si>
  <si>
    <t>Achat de terrains industriels</t>
  </si>
  <si>
    <t>Achat de terrains, parcs, jardins, cimetières, plaines de sport et de jeux</t>
  </si>
  <si>
    <t>Achat de terrains forestiers et réserves naturelles</t>
  </si>
  <si>
    <t>Achat d'autres terrains non bâtis</t>
  </si>
  <si>
    <t xml:space="preserve">Achat de terrains de constructions </t>
  </si>
  <si>
    <t>Achat de terrains et assiettes de voirie</t>
  </si>
  <si>
    <t>Achat de terrains et assiettes des ouvrages d'art</t>
  </si>
  <si>
    <t xml:space="preserve">Opérations immobilière en cours </t>
  </si>
  <si>
    <t>Achat de terrains des cours et plans d'eau</t>
  </si>
  <si>
    <t>Achat de bois sur pied</t>
  </si>
  <si>
    <t>Achat de bâtiments administratifs</t>
  </si>
  <si>
    <t>Achat de bâtiments scolaires</t>
  </si>
  <si>
    <t>Achat de bâtiments industriels ou d'exploitation</t>
  </si>
  <si>
    <t>Achat de bâtiments culturels et sportifs</t>
  </si>
  <si>
    <t>Achat de bâtiments historiques et culturels</t>
  </si>
  <si>
    <t>Achat de bâtiments divers</t>
  </si>
  <si>
    <t>Achat de bâtiments en cours</t>
  </si>
  <si>
    <t>Aménagement aux terrains agricoles</t>
  </si>
  <si>
    <t>Aménagement aux à bâtir non bâtis</t>
  </si>
  <si>
    <t>Aménagement aux terrains industriels</t>
  </si>
  <si>
    <t xml:space="preserve">Aménagement aux  parcs, jardins, cimetières, plaines de sports </t>
  </si>
  <si>
    <t>Aménagement aux terrains forestiers et aux réserves naturelles</t>
  </si>
  <si>
    <t>Aménagement aux terrains non bâtis</t>
  </si>
  <si>
    <t>Aménagement aux terrains en construction</t>
  </si>
  <si>
    <t>Plantations et aménagements sur les terrains</t>
  </si>
  <si>
    <t>Aménagements en cours</t>
  </si>
  <si>
    <t>Plantations et verdurisations</t>
  </si>
  <si>
    <t>Construction de bâtiments administratifs</t>
  </si>
  <si>
    <t>Construction de bâtiments scolaires</t>
  </si>
  <si>
    <t>Construction de bâtiments industriels et d'exploitation</t>
  </si>
  <si>
    <t>Construction de bâtiments culturels et sportifs</t>
  </si>
  <si>
    <t>Construction de bâtiments historiques et de monuments</t>
  </si>
  <si>
    <t>Construction de bâtiments divers</t>
  </si>
  <si>
    <t>Travaux en cours de construction de bâtiments</t>
  </si>
  <si>
    <t>Aménagement aux bâtiments administratifs</t>
  </si>
  <si>
    <t>Aménagements aux de bâtiments scolaires</t>
  </si>
  <si>
    <t>Aménagement aux bâtiments industriels et d'exploitation</t>
  </si>
  <si>
    <t>Aménagement aux bâtiments culturels de sportifs</t>
  </si>
  <si>
    <t>Aménagement aux bâtiments historiques et aux monuments</t>
  </si>
  <si>
    <t>Aménagement des bâtiments divers</t>
  </si>
  <si>
    <t>Aménagement en cours sur les bâtiments</t>
  </si>
  <si>
    <t>Maintenance extraordinaire des bâtiments administratifs</t>
  </si>
  <si>
    <t>Maintenance extraordinaire des bâtiments scolaires</t>
  </si>
  <si>
    <t>Maintenance extraordinaire des bâtiments industriels et d'exploitation</t>
  </si>
  <si>
    <t>Maintenance extraordinaire des bâtiments culturels et sportifs</t>
  </si>
  <si>
    <t>Maintenance extraordinaire des bâtiments historiques</t>
  </si>
  <si>
    <t>Maintenance extraordinaire des bâtiments divers</t>
  </si>
  <si>
    <t>Maintenance extraordinaire en cours des bâtiments</t>
  </si>
  <si>
    <t>Maintenance extraordinaire des terrains agricoles</t>
  </si>
  <si>
    <t>Maintenance extraordinaire des terrains non bâtis</t>
  </si>
  <si>
    <t>Maintenance extraordinaire des terrains industriels et d'exploitation</t>
  </si>
  <si>
    <t xml:space="preserve">Maintenance extraordinaire des parcs, jardins, cimetières, plaines de sports </t>
  </si>
  <si>
    <t>Maintenance extraordinaire des terrains forestiers et des réserves naturelles</t>
  </si>
  <si>
    <t>Maintenance extraordinaire des terrains divers</t>
  </si>
  <si>
    <t>Maintenance extraordinaire des terrains à bâtir</t>
  </si>
  <si>
    <t>Maintenance des plantations</t>
  </si>
  <si>
    <t xml:space="preserve">Maintenance extraordinaire sur travaux en cours </t>
  </si>
  <si>
    <t>Maintenance extraordinaire sur bois sur pied</t>
  </si>
  <si>
    <t>Terrassement et empierrement de la voirie</t>
  </si>
  <si>
    <t>Revêtement de la voirie</t>
  </si>
  <si>
    <t>Accessoires des voiries</t>
  </si>
  <si>
    <t>Travaux de voirie en cours</t>
  </si>
  <si>
    <t>Travaux d'égouts</t>
  </si>
  <si>
    <t>Travaux de canalisations d'eau</t>
  </si>
  <si>
    <t>Travaux des canalisations de vapeur</t>
  </si>
  <si>
    <t>Extension de l'éclairage public</t>
  </si>
  <si>
    <t>Travaux relatifs à des cours et plans d'eau</t>
  </si>
  <si>
    <t>Travaux relatifs à des ouvrages d'art (ponts, tunnels, viaducs, …)</t>
  </si>
  <si>
    <t>Travaux d'infrastructure en cours</t>
  </si>
  <si>
    <t>Honoraires des plans d'aménagement et d'urbanisme</t>
  </si>
  <si>
    <t>Honoraires en cours</t>
  </si>
  <si>
    <t>Plantations en cours</t>
  </si>
  <si>
    <t>Entretiens extraordinaires / égouts</t>
  </si>
  <si>
    <t>Entretiens extraordinaires / conduites d'eau</t>
  </si>
  <si>
    <t>Entretiens extraordinaires / autres réseaux</t>
  </si>
  <si>
    <t>Entretiens extraordinaires / éclairage public</t>
  </si>
  <si>
    <t>Entretiens extraordinaires / cours et plans d'eau</t>
  </si>
  <si>
    <t>Entretiens extraordinaires / ouvrages d'art</t>
  </si>
  <si>
    <t>Entretiens extraordinaires / terrassement et voirie</t>
  </si>
  <si>
    <t>Plantations amortissables</t>
  </si>
  <si>
    <t>Entretiens extraordinaires / accessoires de voirie</t>
  </si>
  <si>
    <t>Entretiens extraordinaires / infrastructures routières en cours</t>
  </si>
  <si>
    <t>Achat de mobilier de bureau</t>
  </si>
  <si>
    <t>Achat de mobilier urbain et signalisation</t>
  </si>
  <si>
    <t>Achat de mobiliers divers</t>
  </si>
  <si>
    <t>Achat de machines à écrire et à composer</t>
  </si>
  <si>
    <t>Achat de matériel de reprographie</t>
  </si>
  <si>
    <t>Achat de matériel informatique</t>
  </si>
  <si>
    <t>Achat de matériel de bureau divers</t>
  </si>
  <si>
    <t>Achat de motos et de vélos</t>
  </si>
  <si>
    <t>Achat d'autos et de camionnettes</t>
  </si>
  <si>
    <t>Achat de camions</t>
  </si>
  <si>
    <t>Annexe I PLP 36</t>
  </si>
  <si>
    <t>Annexe II PLP 36</t>
  </si>
  <si>
    <t>Acquisition d'autres véhicules</t>
  </si>
  <si>
    <t>Achat de machines et matériel d'exploitation en général</t>
  </si>
  <si>
    <t>Entretien extraordinaire sur machines et matériel d'exploitation en général</t>
  </si>
  <si>
    <t>Entretien extraordinaire sur autos et camionnettes</t>
  </si>
  <si>
    <t>Entretien extraordinaire sur camions</t>
  </si>
  <si>
    <t>Entretien extraordinaire sur autres véhicules</t>
  </si>
  <si>
    <t>Acquisition de cheptel</t>
  </si>
  <si>
    <t>Études sur l'organisation administration et la gestion</t>
  </si>
  <si>
    <t>Études en cours sur l'organisation administration et la gestion</t>
  </si>
  <si>
    <t>Achat de biens immeubles en leasing</t>
  </si>
  <si>
    <t>Achat de mobiliers en leasing</t>
  </si>
  <si>
    <t>Achat de matériels de bureau en leasing</t>
  </si>
  <si>
    <t>Achat de matériels de transport en leasing</t>
  </si>
  <si>
    <t>Achat de matériels d'exploitation en leasing</t>
  </si>
  <si>
    <t>Achat de patrimoine culturel en leasing</t>
  </si>
  <si>
    <t>Achat et rénovation d'oeuvres d'art</t>
  </si>
  <si>
    <t>Achat d'ouvrages de bibliothèques</t>
  </si>
  <si>
    <t>Dépenses diverses d'investissement</t>
  </si>
  <si>
    <t>Vente de terrains agricoles</t>
  </si>
  <si>
    <t>Vente de terrains à bâtir non bâtis</t>
  </si>
  <si>
    <t>Vente de terrains industriels</t>
  </si>
  <si>
    <t>Vente de parcs, jardins, cimetières, plaines de sport et de jeux</t>
  </si>
  <si>
    <t>Vente de terrains forestiers  et de réserves naturelles</t>
  </si>
  <si>
    <t>Vente de terrains divers</t>
  </si>
  <si>
    <t>Vente de terrains de construction</t>
  </si>
  <si>
    <t>Vente de terrains de voirie déclassée</t>
  </si>
  <si>
    <t>Vente de terrains des ouvrages d'art</t>
  </si>
  <si>
    <t>Vente de terrain de cours et plans d'eau</t>
  </si>
  <si>
    <t>Vente de bois sur pied</t>
  </si>
  <si>
    <t>Vente de bâtiments administratifs</t>
  </si>
  <si>
    <t>Vente de bâtiments scolaires</t>
  </si>
  <si>
    <t>Vente de bâtiments industriels et d'exploitation</t>
  </si>
  <si>
    <t>Vente de bâtiments culturels et sportifs</t>
  </si>
  <si>
    <t>Vente de bâtiments non valorisés dans la balance initiale</t>
  </si>
  <si>
    <t>Vente de bâtiments divers</t>
  </si>
  <si>
    <t>Vente d'autres patrimoines immobilisés</t>
  </si>
  <si>
    <t>Vente de mobiliers de bureau</t>
  </si>
  <si>
    <t>Vente d'autres mobiliers</t>
  </si>
  <si>
    <t>Vente de machines à écrire et à composer</t>
  </si>
  <si>
    <t>Vente de matériel de reprographie</t>
  </si>
  <si>
    <t>Vente de matériel informatique</t>
  </si>
  <si>
    <t>Vente de matériel de bureau divers</t>
  </si>
  <si>
    <t>Vente de motos et de vélos</t>
  </si>
  <si>
    <t>Vente de voitures et camionnettes</t>
  </si>
  <si>
    <t>Vente de camions</t>
  </si>
  <si>
    <t>Vente d'autres véhicules divers</t>
  </si>
  <si>
    <t>Vente de machines, matériel d'exploitation et équipement</t>
  </si>
  <si>
    <t>Vente de cheptel</t>
  </si>
  <si>
    <t>Ventes d'oeuvres d'art</t>
  </si>
  <si>
    <t>Vente d'ouvrages de bibliothèques</t>
  </si>
  <si>
    <t>Vente d'autres patrimoines mobiliers</t>
  </si>
  <si>
    <t>Crédits aux entreprises publiques</t>
  </si>
  <si>
    <t xml:space="preserve">Participation dans des entreprises publiques </t>
  </si>
  <si>
    <t>Acquisition de fonds publics</t>
  </si>
  <si>
    <t>Participation dans des entreprises privées</t>
  </si>
  <si>
    <t>Crédits accordés entreprises privées</t>
  </si>
  <si>
    <t>Acquisition de fonds émis par des entreprises privées</t>
  </si>
  <si>
    <t>Crédits aux ménages et organismes au service des ménages</t>
  </si>
  <si>
    <t>Crédits octroyés à État</t>
  </si>
  <si>
    <t>Achat d'obligations de État</t>
  </si>
  <si>
    <t>Crédits octroyés au CPAS</t>
  </si>
  <si>
    <t>Crédits octroyés aux fabriques d'église</t>
  </si>
  <si>
    <t>Crédits octroyés aux tiers</t>
  </si>
  <si>
    <t>Achat d'obligation des pouvoirs publics</t>
  </si>
  <si>
    <t>Remboursement ordinaire des crédits accordés aux entreprises publiques</t>
  </si>
  <si>
    <t>Remboursement anticipé des crédits accordés aux entreprises publiques</t>
  </si>
  <si>
    <t>Remboursement des titres par des entreprises publiques</t>
  </si>
  <si>
    <t>Vente de titres d'entreprises publiques</t>
  </si>
  <si>
    <t>Remboursement des titres par des entreprises privées</t>
  </si>
  <si>
    <t>Remboursement ordinaire des crédits accordés aux entreprises privées</t>
  </si>
  <si>
    <t>Remboursement anticipé des crédits accordés aux entreprises privées</t>
  </si>
  <si>
    <t>Vente de titres émis par des entreprises privées</t>
  </si>
  <si>
    <t>Remboursement ordinaire des crédits accordés aux ménages, ASBL et aux institutions à leur service</t>
  </si>
  <si>
    <t>Remboursement anticipé des crédits accordés aux ménages, ASBL et aux institutions à leur service</t>
  </si>
  <si>
    <t>Remboursement périodique des crédits par État</t>
  </si>
  <si>
    <t>Remboursement anticipé des crédits de État</t>
  </si>
  <si>
    <t>Vente de tires émis par État</t>
  </si>
  <si>
    <t>Remboursement périodique par les tiers des emprunts à leur charge</t>
  </si>
  <si>
    <t>Remboursement périodique par État des emprunts à sa charge</t>
  </si>
  <si>
    <t>Remboursement anticipé par les tiers des emprunts à leur charge</t>
  </si>
  <si>
    <t>Remboursement anticipé par État des emprunts à sa charge</t>
  </si>
  <si>
    <t>Vente de titres émis par État</t>
  </si>
  <si>
    <t>Remboursement périodique de emprunts à charge de la zone de police</t>
  </si>
  <si>
    <t>Remboursement périodique de leasings</t>
  </si>
  <si>
    <t>Remboursement périodique des emprunts publics</t>
  </si>
  <si>
    <t>Remboursement périodique des emprunts d'assainissement et de consolidation</t>
  </si>
  <si>
    <t>Remboursement périodique des emprunts de préfinancement</t>
  </si>
  <si>
    <t>Remboursement anticipé de emprunts à charge de la zone de police</t>
  </si>
  <si>
    <t>Non-valeurs d'emprunts à charge de la zone de police</t>
  </si>
  <si>
    <t>Remboursement anticipé de leasings</t>
  </si>
  <si>
    <t>Remboursement anticipé des emprunts publics</t>
  </si>
  <si>
    <t>Remboursement anticipé d'emprunts d'assainissement et de consolidation</t>
  </si>
  <si>
    <t>Remboursement anticipé de prêts de préfinancement et remboursement à une seule échéance des prêts de préfinancement</t>
  </si>
  <si>
    <t xml:space="preserve">Non valeur dans les conventions de leasing </t>
  </si>
  <si>
    <t>Remboursement périodique des emprunts à charge de État</t>
  </si>
  <si>
    <t>Remboursement anticipé des emprunts à charge de État</t>
  </si>
  <si>
    <t>Non-valeurs des emprunts à charge de tiers</t>
  </si>
  <si>
    <t>Remboursement périodique de emprunts à charge de tiers</t>
  </si>
  <si>
    <t>Remboursement anticipé des emprunts à charge de tiers</t>
  </si>
  <si>
    <t>Remboursement périodique des locations financements</t>
  </si>
  <si>
    <t>Résultat comptable bénéficiaire du service ordinaire</t>
  </si>
  <si>
    <t>Résultat comptable bénéficiaire du service extraordinaire</t>
  </si>
  <si>
    <t>Prélèvement en faveur du fonds de réserve ordinaire</t>
  </si>
  <si>
    <t>Prélèvement en faveur du fonds de réserve extraordinaire</t>
  </si>
  <si>
    <t>Prélèvement pour le fonds de réserve extraordinaire</t>
  </si>
  <si>
    <t>Prélèvement du service extraordinaire vers le service ordinaire</t>
  </si>
  <si>
    <t>Prélèvement du service ordinaire vers le service extraordinaire</t>
  </si>
  <si>
    <t>Provisions pour risques &amp; charges du service ordinaire</t>
  </si>
  <si>
    <t>Emprunts à charges de la zone de police</t>
  </si>
  <si>
    <t>Conventions de leasing</t>
  </si>
  <si>
    <t>Emprunts publics</t>
  </si>
  <si>
    <t>Emprunts d'assainissement et de consolidation</t>
  </si>
  <si>
    <t>Emprunts de préfinancement</t>
  </si>
  <si>
    <t>Emprunts dont le remboursement est à charge de État</t>
  </si>
  <si>
    <t>Emprunts dont le remboursement est à charges de tiers</t>
  </si>
  <si>
    <t>Remboursement à charge de tiers garantis par la zone de police</t>
  </si>
  <si>
    <t>Résultat comptable négatif du service ordinaire</t>
  </si>
  <si>
    <t>Résultat comptable négatif du service extraordinaire</t>
  </si>
  <si>
    <t>Prélèvement sur le fonds de réserve ordinaire</t>
  </si>
  <si>
    <t>Prélèvement sur le fonds de réserve extraordinaire</t>
  </si>
  <si>
    <t>Prélèvement  du service extraordinaire pour l'ordinaire</t>
  </si>
  <si>
    <t>Prélèvement du service ordinaire pour l'extraordinaire</t>
  </si>
  <si>
    <t>Utilisation des provisions pour risques &amp; charges</t>
  </si>
  <si>
    <t>Reprise de provisions pour risques &amp; charges</t>
  </si>
  <si>
    <t>Assurance sur matériel de voirie et d'égouttage</t>
  </si>
  <si>
    <t>Non valeurs sur emprunts de préfinancement</t>
  </si>
  <si>
    <t>Ces codes fonctionnels peuvent être étendus avec 2 caractères.</t>
  </si>
  <si>
    <t xml:space="preserve">Calog Statutaire </t>
  </si>
  <si>
    <t>Calog Contractuel</t>
  </si>
  <si>
    <t>ACS</t>
  </si>
  <si>
    <t xml:space="preserve"> le nom du module. En principe il s'agit de  "plp34_module_n" ou "plp34_module", selon la langue utilisée.</t>
  </si>
  <si>
    <t>-</t>
  </si>
  <si>
    <t>Receveur régional (voir Données générales) ?</t>
  </si>
  <si>
    <t>Rémunération  locative</t>
  </si>
  <si>
    <t>MÉCANISMES DE CORRECTION CONCERNANT LE TRANSFERT DE BÂTIMENTS FÉDÉRAUX</t>
  </si>
  <si>
    <t>Compensation de la rémunération locative</t>
  </si>
  <si>
    <t>Si un receveur régional est nommé, il doit apparaître</t>
  </si>
  <si>
    <t>MB 1</t>
  </si>
  <si>
    <t>MB 2</t>
  </si>
  <si>
    <t>MB 3</t>
  </si>
  <si>
    <t>MB 4</t>
  </si>
  <si>
    <t>MB 1 (+/-)</t>
  </si>
  <si>
    <t>MB 2 (+/-)</t>
  </si>
  <si>
    <t>MB 3 (+/-)</t>
  </si>
  <si>
    <t>MB 4 (+/-)</t>
  </si>
  <si>
    <t>Rapport du: 6/01/2004 16:05:39</t>
  </si>
  <si>
    <t>MB1 (+/-)</t>
  </si>
  <si>
    <t>MB2 (+/-)</t>
  </si>
  <si>
    <t>MB3 (+/-)</t>
  </si>
  <si>
    <t>MB4 (+/-)</t>
  </si>
  <si>
    <t>DOTATIONS FÉDÉRALES ET COMMUNALES</t>
  </si>
  <si>
    <t>Vbld</t>
  </si>
  <si>
    <t>AlgGeg</t>
  </si>
  <si>
    <t>OntvKrediet</t>
  </si>
  <si>
    <t>UitgKrediet</t>
  </si>
  <si>
    <t>OverzTab</t>
  </si>
  <si>
    <t>OverdrOntv</t>
  </si>
  <si>
    <t>SchuldOntv</t>
  </si>
  <si>
    <t>PersUitg</t>
  </si>
  <si>
    <t>WerkUitg</t>
  </si>
  <si>
    <t>OverdrUitg</t>
  </si>
  <si>
    <t>CorrMech</t>
  </si>
  <si>
    <t>SchUitg</t>
  </si>
  <si>
    <t>Overboek</t>
  </si>
  <si>
    <t>BU</t>
  </si>
  <si>
    <t>Rapp</t>
  </si>
  <si>
    <t>Numéro</t>
  </si>
  <si>
    <t>Fonctionnaire traitant</t>
  </si>
  <si>
    <t>Comptable spécial</t>
  </si>
  <si>
    <t>Téléphone</t>
  </si>
  <si>
    <t>Budget</t>
  </si>
  <si>
    <t>FEUILLE DE NAVIGATION</t>
  </si>
  <si>
    <t>Fonctionnalité</t>
  </si>
  <si>
    <t>Description</t>
  </si>
  <si>
    <t>Fonction ZOOM</t>
  </si>
  <si>
    <t xml:space="preserve">Avec ce bouton vous pouvez modifier la taille de l'écran </t>
  </si>
  <si>
    <t>Avec ce bouton, un rapport est rédigé sur les fautes rencontrées</t>
  </si>
  <si>
    <t>Nom de l'onglet</t>
  </si>
  <si>
    <t>Input requis</t>
  </si>
  <si>
    <t>Navigation</t>
  </si>
  <si>
    <t>Oui</t>
  </si>
  <si>
    <t>&lt;--- Aller ---&gt;</t>
  </si>
  <si>
    <t>Non</t>
  </si>
  <si>
    <t>PAGE DE GARDE</t>
  </si>
  <si>
    <t>Générateur de rapport</t>
  </si>
  <si>
    <t>RAPPORT AVEC HYPERLIENS AVEC LES ANOMALIES RENCONTRÉES</t>
  </si>
  <si>
    <t>DONNÉES GÉNÉRALES</t>
  </si>
  <si>
    <t>ENCODAGE DES RECETTES BUDGÉTÉES</t>
  </si>
  <si>
    <t>ENCODAGE DES DÉPENSES BUDGÉTÉES</t>
  </si>
  <si>
    <t>TABLEAU RÉCAPITULATIF</t>
  </si>
  <si>
    <t>CONTRÔLE GÉNÉRAL DE L'USAGE CORRECTE DES CODES</t>
  </si>
  <si>
    <t>INTÉRÊTS ET PRÉCOMPTE MOBILIER</t>
  </si>
  <si>
    <t>CONTRÔLE DES DÉPENSES DE PERSONNEL</t>
  </si>
  <si>
    <t>CONTRÔLE DES DÉPENSES DE FONCTIONNEMENT</t>
  </si>
  <si>
    <t>CONTRÔLE DES DÉPENSES DE TRANSFERT</t>
  </si>
  <si>
    <t>CONTRÔLE DES DÉPENSES PÉRIODIQUES D'EMPRUNTS</t>
  </si>
  <si>
    <t>AFFECTATIONS, RÉSERVES ET PROVISIONS</t>
  </si>
  <si>
    <t>DÉPENSES EXTRAORDINAIRES</t>
  </si>
  <si>
    <t>RAPPORT</t>
  </si>
  <si>
    <t>Etabli par: pweltjens</t>
  </si>
  <si>
    <t>a été rencontrée.</t>
  </si>
  <si>
    <t>a rencontrées. Les hyperliens se réfèrent à la cellule de la feuille de travail où l'anomalie</t>
  </si>
  <si>
    <t>Feuille de travail</t>
  </si>
  <si>
    <t>Cellule</t>
  </si>
  <si>
    <t>Date d'approbation (JJ/MM/AAAA)</t>
  </si>
  <si>
    <t>Date d'expédition (JJ/MM/AAAA)</t>
  </si>
  <si>
    <t>Nombre de jours</t>
  </si>
  <si>
    <t>Service ordinaire</t>
  </si>
  <si>
    <t>Service extraordinaire</t>
  </si>
  <si>
    <t>Résultats budgétaires présentés</t>
  </si>
  <si>
    <t>Nom de la commune</t>
  </si>
  <si>
    <t>Indication complète des annexes</t>
  </si>
  <si>
    <t>Encodage des recettes budgétaires</t>
  </si>
  <si>
    <t>F. Code</t>
  </si>
  <si>
    <t>Ex.</t>
  </si>
  <si>
    <t>Article budgétaire</t>
  </si>
  <si>
    <t>Groupe Ec.</t>
  </si>
  <si>
    <t>Libellé</t>
  </si>
  <si>
    <t>Code ec.</t>
  </si>
  <si>
    <t>Groupe éco.</t>
  </si>
  <si>
    <t>Recettes exercice propre</t>
  </si>
  <si>
    <t>Dépenses exercice propre</t>
  </si>
  <si>
    <t>Recettes de transfert</t>
  </si>
  <si>
    <t>Dépenses de transfert</t>
  </si>
  <si>
    <t>Dans le budget des zones de police, seuls les codes suivants sont autorisés :</t>
  </si>
  <si>
    <t>Police</t>
  </si>
  <si>
    <t>Transfert</t>
  </si>
  <si>
    <t># Recettes</t>
  </si>
  <si>
    <t># Dépenses</t>
  </si>
  <si>
    <t>Autre</t>
  </si>
  <si>
    <t>Différence</t>
  </si>
  <si>
    <t>pour des dépenses et réciproquement</t>
  </si>
  <si>
    <t>Source</t>
  </si>
  <si>
    <t>Article</t>
  </si>
  <si>
    <t>DOIT ÊTRE</t>
  </si>
  <si>
    <t>EST</t>
  </si>
  <si>
    <t>AR 06.01.2003</t>
  </si>
  <si>
    <t>Module Personnel</t>
  </si>
  <si>
    <t>DOTATIONS COMMUNALES (zones pluricommunales)</t>
  </si>
  <si>
    <t>Service</t>
  </si>
  <si>
    <t>Code Ec.</t>
  </si>
  <si>
    <t>Intérêts créditeurs</t>
  </si>
  <si>
    <t>Précompte mobilier</t>
  </si>
  <si>
    <t>Proportion</t>
  </si>
  <si>
    <t>Nombre sur lequel le cadre a été calculé</t>
  </si>
  <si>
    <t>Nombre</t>
  </si>
  <si>
    <t>ETP</t>
  </si>
  <si>
    <t>Statutaire opérationnel</t>
  </si>
  <si>
    <t>Contractuel opérationnel</t>
  </si>
  <si>
    <t>a fait usage du module comptable qui est joint à  la circulaire PLP34.</t>
  </si>
  <si>
    <t>Demander à la zone de police un état complété (à refaire en excel)</t>
  </si>
  <si>
    <t>La complétion du tableau suivant peut s'opérer de deux manières:</t>
  </si>
  <si>
    <t>- manuellement : vous tapez les montants de la feuille de travail "Total_Code" ( ligne 104 colonnes  AJ - AU)</t>
  </si>
  <si>
    <t xml:space="preserve">  et pour la Dotation Sociale II vous prenez le montant de la feuille de travail "Total" (ligne 33 colonne F).</t>
  </si>
  <si>
    <t xml:space="preserve">- automatiquement: sur le tableau vous trouvez un bouton, qui intègre les montants de manière automatique. </t>
  </si>
  <si>
    <t xml:space="preserve">  Si la zone de police a donné une autre dénomination à cet état, vous devrez encoder la dénomination</t>
  </si>
  <si>
    <t xml:space="preserve">  présentée.</t>
  </si>
  <si>
    <t>L I B E L L E</t>
  </si>
  <si>
    <t>Selon le module Personnel</t>
  </si>
  <si>
    <t>Selon le budget 2004</t>
  </si>
  <si>
    <t>Différences</t>
  </si>
  <si>
    <t>Appointements du personnel de police</t>
  </si>
  <si>
    <t>Appointements des contractuels subsidiés</t>
  </si>
  <si>
    <t>Indemnités sur prestations du personnel de police</t>
  </si>
  <si>
    <t>Indemnités sur prestations du personnel contractuel subsidié</t>
  </si>
  <si>
    <t>Pécule de vacances du personnel de police</t>
  </si>
  <si>
    <t>Pécule de vacances du personnel contractuel subsidié</t>
  </si>
  <si>
    <t>Cotisations patronales à l'ONSS pour le personnel de police</t>
  </si>
  <si>
    <t>Cotisations patronales à l'ONSS pour le personnel contractuel subsidié</t>
  </si>
  <si>
    <t>Primes versées pour couvrir l'assurance-loi</t>
  </si>
  <si>
    <t>Cotisations aux autres services sociaux de la zone de police</t>
  </si>
  <si>
    <t>Frais vestimentaires du personnel</t>
  </si>
  <si>
    <t>Indemnités diverses</t>
  </si>
  <si>
    <t>Dotation sociale II</t>
  </si>
  <si>
    <t>CALCUL DES FRAIS DE PERSONNEL PAR ETP</t>
  </si>
  <si>
    <t>Dépenses totales de personnel (exercice propre)</t>
  </si>
  <si>
    <t>Nombre ETP</t>
  </si>
  <si>
    <t>Moyenne</t>
  </si>
  <si>
    <t>Limite supérieure (à établir)</t>
  </si>
  <si>
    <t>La recherche dans les comptes communaux a montré que de codes économiques</t>
  </si>
  <si>
    <t>en matière de dépenses de fonctionnement ne conviennent pas pour la police.</t>
  </si>
  <si>
    <t xml:space="preserve">Fournitures de bureau gérées en inventaire </t>
  </si>
  <si>
    <t>Fournitures techniques pour la revente gérées sur inventaire</t>
  </si>
  <si>
    <t>Frais de voyages scolaires, classes ouvertes, etc.</t>
  </si>
  <si>
    <t>Repas scolaires</t>
  </si>
  <si>
    <t>Autres avantages liés à l'enseignement</t>
  </si>
  <si>
    <t>Fournitures pour bâtiments gérées en inventaire</t>
  </si>
  <si>
    <t>Frais administratifs de la gestion du portefeuille (garde)</t>
  </si>
  <si>
    <t>Commission bancaire sur les emprunts publics</t>
  </si>
  <si>
    <t>Commission de remboursement des emprunts publics</t>
  </si>
  <si>
    <t>Fournitures pour voiries gérées en inventaire</t>
  </si>
  <si>
    <t>Prestations de tiers pour voiries</t>
  </si>
  <si>
    <t>Entretiens des voiries</t>
  </si>
  <si>
    <t>Loyers et entretiens du matériel de voirie</t>
  </si>
  <si>
    <t>Service d'hiver</t>
  </si>
  <si>
    <t>Autres dépenses diverses de fonctionnement relatifs aux voiries</t>
  </si>
  <si>
    <t>Codes économiques avec invraisemblance</t>
  </si>
  <si>
    <t>dans le budget, de tels codes  ainsi que ceux qui ne peuvent apparaître.</t>
  </si>
  <si>
    <t>Frais de route et de séjour du personnel de la zone de police et des mandataires</t>
  </si>
  <si>
    <t>Fournitures de bureau (consommation directe)</t>
  </si>
  <si>
    <t>Frais de poste</t>
  </si>
  <si>
    <t>Frais de téléphone</t>
  </si>
  <si>
    <t>Frais d'entretien et de location de mobilier et matériel de bureau</t>
  </si>
  <si>
    <t>Frais de gestion et de fonctionnement de l'informatique</t>
  </si>
  <si>
    <t>Prestations du service médical du travail</t>
  </si>
  <si>
    <t>Frais de formation du personnel</t>
  </si>
  <si>
    <t>Documentation &amp; abonnements</t>
  </si>
  <si>
    <t>Fournitures techniques (consommation directe)</t>
  </si>
  <si>
    <t>Achat, entretien et location de vêtements de travail du personnel de la zone de police</t>
  </si>
  <si>
    <t>Assurances : responsabilité civile, vol, incendie, mobilier, etc.</t>
  </si>
  <si>
    <t>Location et entretien du matériel technique</t>
  </si>
  <si>
    <t>Combustible pour chauffage des bâtiments</t>
  </si>
  <si>
    <t>Électricité des bâtiments</t>
  </si>
  <si>
    <t>Eau de bâtiments</t>
  </si>
  <si>
    <t>Fournitures pour véhicules en consommation directe</t>
  </si>
  <si>
    <t>Carburant &amp; huile  pour véhicules</t>
  </si>
  <si>
    <t>Prestations de tiers sur véhicules</t>
  </si>
  <si>
    <t>Assurances sur véhicules et charroi</t>
  </si>
  <si>
    <t>Impôts &amp; taxes sur véhicules et charroi</t>
  </si>
  <si>
    <t>Autres frais divers sur les véhicules et le charroi</t>
  </si>
  <si>
    <t>Remboursement de frais</t>
  </si>
  <si>
    <t>Fonctionnement des bâtiments</t>
  </si>
  <si>
    <t>Loyers et charges locatives pour bâtiments et terrains</t>
  </si>
  <si>
    <t>Frais d'exploitation des véhicules</t>
  </si>
  <si>
    <t>Frais de gestion financière</t>
  </si>
  <si>
    <t>Total des dépenses de fonctionnement (exercice propre)</t>
  </si>
  <si>
    <t>Nombre de membres du personnel</t>
  </si>
  <si>
    <t>Avis</t>
  </si>
  <si>
    <t>BezGrens</t>
  </si>
  <si>
    <t>Module</t>
  </si>
  <si>
    <t>JN</t>
  </si>
  <si>
    <t>G/B</t>
  </si>
  <si>
    <t>BW1 (+/-)</t>
  </si>
  <si>
    <t>BW2 (+/-)</t>
  </si>
  <si>
    <t>BW3 (+/-)</t>
  </si>
  <si>
    <t>BW4 (+/-)</t>
  </si>
  <si>
    <t>Y</t>
  </si>
  <si>
    <t>X</t>
  </si>
  <si>
    <t>(X-Y)/20</t>
  </si>
  <si>
    <t>330../465-01</t>
  </si>
  <si>
    <t>33001/301-02/2004</t>
  </si>
  <si>
    <t>Ec(3)</t>
  </si>
  <si>
    <t>Codes</t>
  </si>
  <si>
    <t>957-01</t>
  </si>
  <si>
    <t>997-51</t>
  </si>
  <si>
    <t>956-51</t>
  </si>
  <si>
    <t>996-01</t>
  </si>
  <si>
    <t>954-01</t>
  </si>
  <si>
    <t>994-01</t>
  </si>
  <si>
    <t>958-01</t>
  </si>
  <si>
    <t>998-01</t>
  </si>
  <si>
    <t>998-02</t>
  </si>
  <si>
    <t>955-01</t>
  </si>
  <si>
    <t>955-51</t>
  </si>
  <si>
    <t>995-51</t>
  </si>
  <si>
    <t>Fc(3)</t>
  </si>
  <si>
    <t>Jaren</t>
  </si>
  <si>
    <t>EC(3)</t>
  </si>
  <si>
    <t>VarCoëff</t>
  </si>
  <si>
    <t>Ce rapport donne une vue d'ensemble des anomalies que le module de contrôle du budget</t>
  </si>
  <si>
    <t>ENCODAGE DES DÉPENSES BUDGÉTAIRES</t>
  </si>
  <si>
    <t>Solde</t>
  </si>
  <si>
    <t>CONTRÔLE GÉNÉRAL DE L'USAGE CORRECT DES CODES</t>
  </si>
  <si>
    <t>Contrôle des codes fonctionnels autorisés</t>
  </si>
  <si>
    <t>Recettes et dépenses indivisibles</t>
  </si>
  <si>
    <t>Contrôle de l'adéquation des codes économiques</t>
  </si>
  <si>
    <t xml:space="preserve">Ce contrôle examine si aucun code économique réservé aux recettes n'est utilisé </t>
  </si>
  <si>
    <t>Groupe Économique</t>
  </si>
  <si>
    <t>DOTATIONS FÉDÉRALES DES EXERCICES PRÉCÉDENTS</t>
  </si>
  <si>
    <t>DIFFÉRENCE</t>
  </si>
  <si>
    <t>DOTATIONS FÉDÉRALES EXERCICE PROPRE</t>
  </si>
  <si>
    <t>Décision du Conseil</t>
  </si>
  <si>
    <t>INTÉRÊTS CRÉDITEURS ET PRÉCOMPTE MOBILIER</t>
  </si>
  <si>
    <t>CONTRÔLE DES DÉPENSES DU PERSONNEL</t>
  </si>
  <si>
    <t>DONNÉES ISSUES DE LA PAGE DE GARDE DU BUDGET (MODIFICATION)</t>
  </si>
  <si>
    <t>DÉPENSES DE PERSONNEL CADRE ET DOTATION SOCIALE II</t>
  </si>
  <si>
    <t>Un contrôle valide des dépenses de personnel est difficilement possible, quand la zone de police</t>
  </si>
  <si>
    <t xml:space="preserve">  Pour cette intégration il est indispensable que le  module des dépenses du personnel soit ouvert. Noter aussi</t>
  </si>
  <si>
    <t>RECHERCHE DE LA PRÉSENCE DE CODES ÉCONOMIQUES NON PRESCRITS</t>
  </si>
  <si>
    <t>D'autres codes ne peuvent survenir. Dans le contrôle qui suit, seront relevés,</t>
  </si>
  <si>
    <t>Codes économiques avec haut niveau de certitude</t>
  </si>
  <si>
    <t>RECHERCHE SUR L'ÉVOLUTION DES DÉPENSES DE FONCTIONNEMENT</t>
  </si>
  <si>
    <t>Honoraires et dépenses de personnel non zone de police</t>
  </si>
  <si>
    <t>Fonctionnement administratif</t>
  </si>
  <si>
    <t>Fonctionnement technique</t>
  </si>
  <si>
    <t>COMPTABILISATION DES DÉPENSES DE FONCTIONNEMENT LIÉES AU PERSONNEL</t>
  </si>
  <si>
    <t>COMPARAISON AVEC LES DONNÉES DU MODULE PERSONNEL</t>
  </si>
  <si>
    <t>BUDGET POUR COMPTABLE SPÉCIAL</t>
  </si>
  <si>
    <t>Correction annuelle à charge de la zone de police</t>
  </si>
  <si>
    <t>DONNÉES ISSUES DU TABLEAU "Évolution de la dette"</t>
  </si>
  <si>
    <t>Mécanisme de Corr.</t>
  </si>
  <si>
    <t>VRAISEMBLANCE DU TAUX D'INTÉRÊT</t>
  </si>
  <si>
    <t>TRANSFERTS,  RÉSERVES ET PROVISIONS</t>
  </si>
  <si>
    <t>MUTATION DES RÉSERVES ORDINAIRES</t>
  </si>
  <si>
    <t>MUTATION DES PROVISIONS POUR RISQUES ET CHARGES</t>
  </si>
  <si>
    <t>MUTATION DES RÉSERVES EXTRAORDINAIRES</t>
  </si>
  <si>
    <t>Travaux d'infrastructure</t>
  </si>
  <si>
    <t>Entretien extraordinaire des voiries</t>
  </si>
  <si>
    <t>PAS DE REMARQUES</t>
  </si>
  <si>
    <t>Un receveur régional a-t-il été désigné ?</t>
  </si>
  <si>
    <t>Notes de crédit et ristournes du service ordinaire</t>
  </si>
  <si>
    <t>Réclamation de dépenses de personnel indûment versées</t>
  </si>
  <si>
    <t>Appointements du personnel enseignant à charge de l'autorité supérieure</t>
  </si>
  <si>
    <t>Appointements du personnel enseignant à charge de la zone de police</t>
  </si>
  <si>
    <t>Indemnités sur prestations du personnel enseignant</t>
  </si>
  <si>
    <t>Émoluments des mandataires de la zone de police</t>
  </si>
  <si>
    <t>Jetons de présence des mandataires de la zone de police</t>
  </si>
  <si>
    <t>Pécule de vacances du personnel enseignant à charge de la zone de police</t>
  </si>
  <si>
    <t>Indemnités pour frais de maladie grave et d'enterrement</t>
  </si>
  <si>
    <t>Autres indemnités sociales et gratifications</t>
  </si>
  <si>
    <t>Cotisations patronales à l'ONSS sur indemnités sur prestations du personnel de police</t>
  </si>
  <si>
    <t>Cotisations patronales à l'ONSS sur indemnités sur prestations du personnel contractuel subsidié</t>
  </si>
  <si>
    <t>Cotisations patronales à l'ONSS pour le personnel enseignant à charge de la zone de police</t>
  </si>
  <si>
    <t>Cotisations patronales à l'ONSS sur indemnités pour prestations du personnel enseignant à charge de la zone de police</t>
  </si>
  <si>
    <t>Cotisations patronales sur la caisse des pensions de la zone de police</t>
  </si>
  <si>
    <t>Cotisations patronales sur la caisse de pension de la zone de police</t>
  </si>
  <si>
    <t>Cotisations patronales sur la caisse des pensions du personnel enseignant de la zone de police</t>
  </si>
  <si>
    <t>Cotisations patronales sur la caisse de pension du personnel enseignant de la zone de police</t>
  </si>
  <si>
    <t>Cotisations patronales sur autres caisses de pension</t>
  </si>
  <si>
    <t>Indemnités pour frais de déplacement du personnel de la zone de police</t>
  </si>
  <si>
    <t>Indemnités pour frais de déplacement du personnel contractuel subsidié de la zone de police</t>
  </si>
  <si>
    <t>Indemnités pour frais de déplacement du personnel enseignant de la zone de police</t>
  </si>
  <si>
    <t>Transport gratuit assuré par la zone de police</t>
  </si>
  <si>
    <t>Autres avantages accordés au personnel de la zone de police</t>
  </si>
  <si>
    <t>Autres avantages accordés au personnel contractuel subsidié de la zone de police</t>
  </si>
  <si>
    <t>Autres avantages accordés au personnel enseignant de la zone de police</t>
  </si>
  <si>
    <t>Pensions et allocation à charge de la zone de police</t>
  </si>
  <si>
    <t>Cotisations versées au Service médical de du travail</t>
  </si>
  <si>
    <t>Cotisations aux autres services sociaux</t>
  </si>
  <si>
    <t>Indemnités de logement du personnel de la zone de police</t>
  </si>
  <si>
    <t>Honoraires et indemnités d'experts</t>
  </si>
  <si>
    <t>Honoraires et indemnités pour études et travaux du service ordinaire</t>
  </si>
  <si>
    <t>Honoraires et indemnités d'avocats, artistes et paramédicaux</t>
  </si>
  <si>
    <t>Droits d'auteurs, honoraires et indemnités pour parutions, enseignements, guides, etc.</t>
  </si>
  <si>
    <t>Jetons de présence des commissions et jury</t>
  </si>
  <si>
    <t>Indemnités pour le personnel détaché de la zone de police</t>
  </si>
  <si>
    <t>Jetons de présence et indemnités pour prestations diverses</t>
  </si>
  <si>
    <t>Fournitures pour revente prélevées gérées en inventaire</t>
  </si>
  <si>
    <t>Fournitures pour revente directe</t>
  </si>
  <si>
    <t>Prestations administratives de tiers</t>
  </si>
  <si>
    <t>Frais de poursuite et de procédure</t>
  </si>
  <si>
    <t>Frais de réception et de représentation</t>
  </si>
  <si>
    <t>Frais d'organisation des examens</t>
  </si>
  <si>
    <t>Frais de vente et location spécifiques à la fonction</t>
  </si>
  <si>
    <t>Autres frais administratifs divers</t>
  </si>
  <si>
    <t>Fournitures techniques gérées sur inventaire</t>
  </si>
  <si>
    <t>Fournitures techniques pour revente directe</t>
  </si>
  <si>
    <t>Prestations de tiers spécifiques à la fonction</t>
  </si>
  <si>
    <t>Autres impôts et taxes spécifiques à la fonction</t>
  </si>
  <si>
    <t>Énergie pour l'exploitation</t>
  </si>
  <si>
    <t>Articles pour distribution de prix, jouets, etc.</t>
  </si>
  <si>
    <t>Autres frais techniques divers</t>
  </si>
  <si>
    <t>Fournitures pour bâtiments gérées en consommation directe</t>
  </si>
  <si>
    <t>Prestations de tiers en matière de bâtiments, spécifiques à la fonction</t>
  </si>
  <si>
    <t>Assurances couvrant les biens immobiliers</t>
  </si>
  <si>
    <t>Impôts, taxes et redevances diverses sur biens immobiliers</t>
  </si>
  <si>
    <t>Gaz des bâtiments</t>
  </si>
  <si>
    <t>Chauffage des bâtiments</t>
  </si>
  <si>
    <t>Autres frais divers  bâtiments</t>
  </si>
  <si>
    <t>Loyers et charges locatives des biens immeubles</t>
  </si>
  <si>
    <t>Fournitures pour véhicules gérées en inventaire</t>
  </si>
  <si>
    <t>Location de matériel de transport</t>
  </si>
  <si>
    <t>Frais administratifs de la gestion des comptes financiers</t>
  </si>
  <si>
    <t>Fournitures pour voiries en consommation directe</t>
  </si>
  <si>
    <t>Paiements des prestations directes concernant la fonction</t>
  </si>
  <si>
    <t>Produits de la vente de biens concernant la fonction</t>
  </si>
  <si>
    <t>Produits de location mobilière relative à la fonction</t>
  </si>
  <si>
    <t>Droits d'entrée</t>
  </si>
  <si>
    <t>Produits de concessions de droits accordées</t>
  </si>
  <si>
    <t>Récupération des frais de procédures et de poursuites</t>
  </si>
  <si>
    <t>Intervention des parents dans les transports scolaires</t>
  </si>
  <si>
    <t>Intervention des parents dans les repas scolaires</t>
  </si>
  <si>
    <t>Intervention des parents dans la surveillance et les cours</t>
  </si>
  <si>
    <t>Intervention des parents dans les classes vertes et de neige</t>
  </si>
  <si>
    <t>Produit des droits forestiers d'affouage et d'abattage</t>
  </si>
  <si>
    <t>Produit de la vente des coupes de bois sur pied</t>
  </si>
  <si>
    <t>Produit de la vente de bois abattus</t>
  </si>
  <si>
    <t>Produits des avantages en nature du personnel et des mandataires</t>
  </si>
  <si>
    <t>Produits et récupérations divers relatifs à la fonction</t>
  </si>
  <si>
    <t>Produits des prestations pour les pouvoirs publics</t>
  </si>
  <si>
    <t>Produits des locations immobilières aux entreprises et particuliers</t>
  </si>
  <si>
    <t>Produits de locations immobilières aux pouvoirs publics</t>
  </si>
  <si>
    <t>Récupération de travaux exécutés pour compte de tiers</t>
  </si>
  <si>
    <t>Récupération des droits de passage octroyés</t>
  </si>
  <si>
    <t>Produits des interventions diverses</t>
  </si>
  <si>
    <t>Récupération des frais financiers et pertes sur entreprises</t>
  </si>
  <si>
    <t>Intérêts des emprunts à charge de la zone de police</t>
  </si>
  <si>
    <t>Intérêts de location financement à charge de la zone de police</t>
  </si>
  <si>
    <t>Intérêts des emprunts publics</t>
  </si>
  <si>
    <t>Intérêts des emprunts de consolidations  et d'assainissement</t>
  </si>
  <si>
    <t>Intérêts des emprunts de préfinancement</t>
  </si>
  <si>
    <t>Intérêts des emprunts à charge des autorités supérieures</t>
  </si>
  <si>
    <t>Intérêts des emprunts contractés pour le compte de tiers</t>
  </si>
  <si>
    <t>Intérêts débiteurs sur comptes bancaires de la zone de police</t>
  </si>
  <si>
    <t>Intérêts débiteurs sur comptes courants</t>
  </si>
  <si>
    <t xml:space="preserve">Intérêts débiteurs sur autres comptes </t>
  </si>
  <si>
    <t>Intérêts de retard et moratoire à payer</t>
  </si>
  <si>
    <t>Amendes</t>
  </si>
  <si>
    <t>Pertes de change</t>
  </si>
  <si>
    <t>Primes d'émission des emprunts et commissions de prêts</t>
  </si>
  <si>
    <t>Charges financières des emprunts de tiers garantis par la zone de police</t>
  </si>
  <si>
    <t>Rentes séculaires et à perpétuelles</t>
  </si>
  <si>
    <t>Participations aux pertes d'exploitation des régies de la zone de police</t>
  </si>
  <si>
    <t>Participations aux pertes d'exploitation des intercommunales</t>
  </si>
  <si>
    <t>Participations aux  pertes d'exploitation des entreprises fédérales et régionales</t>
  </si>
  <si>
    <t>Participations aux pertes d'exploitation du Crédit Communal</t>
  </si>
  <si>
    <t>Participations aux pertes d'exploitation des autres établissements publics</t>
  </si>
  <si>
    <t>Primes d'émission des emprunts publics</t>
  </si>
  <si>
    <t>Charges relatives aux opérations de la dette publique</t>
  </si>
  <si>
    <t xml:space="preserve">Intérêts créditeurs des titres de placements </t>
  </si>
  <si>
    <t>Intérêts créditeurs des prêts accordés à plus d'un an</t>
  </si>
  <si>
    <t>Ristourne d'intérêts sur emprunts</t>
  </si>
  <si>
    <t>Remboursement des intérêts des emprunts à charge de tiers</t>
  </si>
  <si>
    <t>Intérêts créditeurs sur les comptes courants DEXIA</t>
  </si>
  <si>
    <t>Intérêts créditeurs sur les comptes de placement</t>
  </si>
  <si>
    <t xml:space="preserve">Intérêts créditeurs sur autres comptes courants </t>
  </si>
  <si>
    <t>Intérêts créditeurs sur autres comptes de placement</t>
  </si>
  <si>
    <t>Erreur d'intérêts à percevoir sur les remboursements d'emprunts</t>
  </si>
  <si>
    <t>Artikel</t>
  </si>
  <si>
    <t>F.code</t>
  </si>
  <si>
    <t>Ec.code</t>
  </si>
  <si>
    <t>economische code</t>
  </si>
  <si>
    <t>omschrijving</t>
  </si>
  <si>
    <t>economische groep</t>
  </si>
  <si>
    <t>7X</t>
  </si>
  <si>
    <t>961-XX</t>
  </si>
  <si>
    <t>911-XX</t>
  </si>
  <si>
    <t>211-XX</t>
  </si>
  <si>
    <t>264-XX</t>
  </si>
  <si>
    <t>128-10</t>
  </si>
  <si>
    <t>330XX/485-48</t>
  </si>
  <si>
    <t>330XX/685-51</t>
  </si>
  <si>
    <t>!</t>
  </si>
  <si>
    <t>12303</t>
  </si>
  <si>
    <t>12403</t>
  </si>
  <si>
    <t>12422</t>
  </si>
  <si>
    <t>12423</t>
  </si>
  <si>
    <t>12424</t>
  </si>
  <si>
    <t>12501</t>
  </si>
  <si>
    <t>12802</t>
  </si>
  <si>
    <t>12901</t>
  </si>
  <si>
    <t>14001</t>
  </si>
  <si>
    <t>14006</t>
  </si>
  <si>
    <t>14011</t>
  </si>
  <si>
    <t>14012</t>
  </si>
  <si>
    <t>14013</t>
  </si>
  <si>
    <t>14048</t>
  </si>
  <si>
    <t>12302</t>
  </si>
  <si>
    <t>12311</t>
  </si>
  <si>
    <t>12317</t>
  </si>
  <si>
    <t>12703</t>
  </si>
  <si>
    <t>12319</t>
  </si>
  <si>
    <t>12706</t>
  </si>
  <si>
    <t>12402</t>
  </si>
  <si>
    <t>12313</t>
  </si>
  <si>
    <t>12405</t>
  </si>
  <si>
    <t>12708</t>
  </si>
  <si>
    <t>12312</t>
  </si>
  <si>
    <t>12101</t>
  </si>
  <si>
    <t>12702</t>
  </si>
  <si>
    <t>12512</t>
  </si>
  <si>
    <t>12412</t>
  </si>
  <si>
    <t>12307</t>
  </si>
  <si>
    <t>12515</t>
  </si>
  <si>
    <t>12103</t>
  </si>
  <si>
    <t>12148</t>
  </si>
  <si>
    <t>12710</t>
  </si>
  <si>
    <t>12408</t>
  </si>
  <si>
    <t>12748</t>
  </si>
  <si>
    <t>12314</t>
  </si>
  <si>
    <t>12503</t>
  </si>
  <si>
    <t>un montant budgétisé sous l'article 330/415-01</t>
  </si>
  <si>
    <t>Budget à l'article  330/415-01</t>
  </si>
  <si>
    <t>Données suivant Annexe 2  de l'AR du 9 novembre 2003</t>
  </si>
  <si>
    <t>Valeur théorique des biens immobiliers</t>
  </si>
  <si>
    <t>Valeur fédérale estimée</t>
  </si>
  <si>
    <t>Correction annuelle</t>
  </si>
  <si>
    <t>Allocation budgétaire</t>
  </si>
  <si>
    <t>Doit être</t>
  </si>
  <si>
    <t>Est</t>
  </si>
  <si>
    <t>Indexation</t>
  </si>
  <si>
    <t>TABLEAU</t>
  </si>
  <si>
    <t>Code EC.</t>
  </si>
  <si>
    <t>Nouveaux emprunts exercice propre</t>
  </si>
  <si>
    <t>Montant échéant dans l'année</t>
  </si>
  <si>
    <t>Intérêts payés</t>
  </si>
  <si>
    <t>Dette moyenne (hors nouveaux emprunts)</t>
  </si>
  <si>
    <t>Nouveaux emprunts X 50 %</t>
  </si>
  <si>
    <t>Total</t>
  </si>
  <si>
    <t>Taux d'intérêt moyens</t>
  </si>
  <si>
    <t>TRANSFERTS ENTRE SERVICES</t>
  </si>
  <si>
    <t>Du service ordinaire</t>
  </si>
  <si>
    <t>Vers le service extraordinaire</t>
  </si>
  <si>
    <t>Du service extraordinaire</t>
  </si>
  <si>
    <t>Vers le service ordinaire</t>
  </si>
  <si>
    <t>Budget/Cpte</t>
  </si>
  <si>
    <t>Les codes économiques qui ont une relation avec  la construction et l'entretien</t>
  </si>
  <si>
    <t>des voiries, ne peuvent être utilisés par les zones de police. Le tableau ci-après</t>
  </si>
  <si>
    <t>examine si le budget utilise l'un des ces codes.</t>
  </si>
  <si>
    <t>Travaux de voirie</t>
  </si>
  <si>
    <t>Plantations</t>
  </si>
  <si>
    <t>Tot.art.</t>
  </si>
  <si>
    <t>Bénéfice de change</t>
  </si>
  <si>
    <t>Récupération sur tires des intérêts d'emprunts garantis</t>
  </si>
  <si>
    <t>Produits de rentes séculaires et perpétuelles</t>
  </si>
  <si>
    <t>Revenus des participations dans les régies de la zone de police</t>
  </si>
  <si>
    <t>Dividendes des participations dans les intercommunales</t>
  </si>
  <si>
    <t>Dividendes des participations dans les entreprises fédérales et régionales</t>
  </si>
  <si>
    <t>Dividendes des participations dans le Crédit Communal</t>
  </si>
  <si>
    <t>Dividendes des participations dans les autres institutions publiques</t>
  </si>
  <si>
    <t>Dividendes des participations dans les entreprises privées</t>
  </si>
  <si>
    <t>Dividendes et ristournes sur des concessions accordées</t>
  </si>
  <si>
    <t>Diverses non valeurs concernant le service ordinaire (décaissement)</t>
  </si>
  <si>
    <t>Diverses non valeurs concernant le service ordinaire (sans décaissement)</t>
  </si>
  <si>
    <t>Déficit de trésorerie</t>
  </si>
  <si>
    <t xml:space="preserve">Réclamation de transfert de revenus  au secteur privé </t>
  </si>
  <si>
    <t>Solde de trésorerie</t>
  </si>
  <si>
    <t>Réductions de loyers ou d'intérêts aux entreprises</t>
  </si>
  <si>
    <t>Subsides de fonctionnement directs aux entreprises</t>
  </si>
  <si>
    <t>Remboursement de frais d'exploitation aux entreprises</t>
  </si>
  <si>
    <t>Subsides indirects accordés aux entreprises</t>
  </si>
  <si>
    <t>Autres dédommagements aux entreprises</t>
  </si>
  <si>
    <t>Primes et subsides directs accordés aux ménages</t>
  </si>
  <si>
    <t>Cotisation de membre des associations d'intérêt interzonal</t>
  </si>
  <si>
    <t>Subsides aux organismes au service des ménages</t>
  </si>
  <si>
    <t>Subsides obligatoires aux institutions au service des ménages</t>
  </si>
  <si>
    <t>Autres subsides aux ménages</t>
  </si>
  <si>
    <t>Taxe sur les véhicules saisis par la police</t>
  </si>
  <si>
    <t>Taxe sur les documents des établissements dangereux, incommodes et insalubres</t>
  </si>
  <si>
    <t>Taxe sur la délivrance de permis de lotir</t>
  </si>
  <si>
    <t>Taxe sur la délivrance de documents administratifs</t>
  </si>
  <si>
    <t>Autres taxes sur prestations administratives</t>
  </si>
  <si>
    <t>Taxe pour acquisition d'assiette de voirie</t>
  </si>
  <si>
    <t>Taxe sur pavage des rues</t>
  </si>
  <si>
    <t>Taxe sur la construction de trottoirs</t>
  </si>
  <si>
    <t>Taxe sur la construction d'égouts</t>
  </si>
  <si>
    <t>Taxe sur raccordement au réseau d'égouts</t>
  </si>
  <si>
    <t>Taxe sur la construction de conduites d'eau</t>
  </si>
  <si>
    <t>Taxe d'urbanisation</t>
  </si>
  <si>
    <t>Taxe sur l'inflexion des trottoirs</t>
  </si>
  <si>
    <t>Taxe pour commodités spéciales dans les rues piétonnes</t>
  </si>
  <si>
    <t>Autres taxes de remboursement</t>
  </si>
  <si>
    <t>Taxe sur bâtiments reliés ou reliables au réseau d'eau</t>
  </si>
  <si>
    <t>Taxe sur le raccordement au réseau de distribution d'eau</t>
  </si>
  <si>
    <t>Taxe sur l'enlèvement d'immondices et résidus ménagers</t>
  </si>
  <si>
    <t>Taxe sur la vidange des fosses d'aisance</t>
  </si>
  <si>
    <t>Taxe sur l'enlèvement des déchets industriels et encombrants</t>
  </si>
  <si>
    <t>Taxe sur le ramassage et l'enlèvement des véhicules et de biens sur la voie publique</t>
  </si>
  <si>
    <t>Taxe sur le versage sauvage d'immondices sur voie publique</t>
  </si>
  <si>
    <t>Taxe sur les égouts reliés ou reliables aux réseaux d'égouts</t>
  </si>
  <si>
    <t>Taxe sur l'entretien des égouts</t>
  </si>
  <si>
    <t>Taxe sur inhumation, dispersion des cendres, colombarium</t>
  </si>
  <si>
    <t>Taxe sur les exhumations</t>
  </si>
  <si>
    <t>Taxe sur transports funèbres</t>
  </si>
  <si>
    <t>Taxe sur occupation de caveaux d'attente</t>
  </si>
  <si>
    <t>Taxe sur le séjour à la morgue ou au dépôt mortuaire</t>
  </si>
  <si>
    <t>Taxe sur les tombes</t>
  </si>
  <si>
    <t>Vente de récipients pour immondices</t>
  </si>
  <si>
    <t>Taxe d'environnement</t>
  </si>
  <si>
    <t>Taxe sur l'utilisation de containers de la zone de police</t>
  </si>
  <si>
    <t xml:space="preserve"> Conseil de zone</t>
  </si>
  <si>
    <t>Décision des conseils communaux concernant les dotations</t>
  </si>
  <si>
    <t>Autres taxes sur l'hygiène publique</t>
  </si>
  <si>
    <t>Taxe sur le personnel occupé</t>
  </si>
  <si>
    <t>Taxe sur les serveuses de bar</t>
  </si>
  <si>
    <t>Taxe sur la force motrice</t>
  </si>
  <si>
    <t>Taxe sur les tanks et les réservoirs</t>
  </si>
  <si>
    <t>Taxe sur les fours à coke</t>
  </si>
  <si>
    <t>Taxe de répartition sur les charbonnages</t>
  </si>
  <si>
    <t>Taxe de répartition sur les briqueterie</t>
  </si>
  <si>
    <t>Taxe de répartition sur les brasseries</t>
  </si>
  <si>
    <t>Taxe de répartition sur les carrières</t>
  </si>
  <si>
    <t>Taxe de répartition sur les industries chimiques</t>
  </si>
  <si>
    <t>Taxe sur le démergement</t>
  </si>
  <si>
    <t>Taxe sur les débits de boisson</t>
  </si>
  <si>
    <t>Taxe sur les débits de tabac</t>
  </si>
  <si>
    <t>Taxe sur les salles de ventes</t>
  </si>
  <si>
    <t>Taxe sur le colportage</t>
  </si>
  <si>
    <t>Taxe sur agences de paris et de jeux</t>
  </si>
  <si>
    <t>Taxe sur les débits de boissons après les heures de fermeture</t>
  </si>
  <si>
    <t>Taxe sur les cercles privés</t>
  </si>
  <si>
    <t>Taxe sur les étalages et les vitrines</t>
  </si>
  <si>
    <t>Taxe sur l'autorisation de vendre du poisson</t>
  </si>
  <si>
    <t>Taxe sur les exploitations de taxis</t>
  </si>
  <si>
    <t>Taxe sur les enseignes et réclames lumineuses</t>
  </si>
  <si>
    <t>Taxe sur les panneaux publicitaires</t>
  </si>
  <si>
    <t>Taxe sur la diffusion publicitaire</t>
  </si>
  <si>
    <t>Taxe sur les poteaux directionnels</t>
  </si>
  <si>
    <t>Taxe de séjour</t>
  </si>
  <si>
    <t>Taxe sur terrains de camping</t>
  </si>
  <si>
    <t>Taxe sur dépôts de matériaux</t>
  </si>
  <si>
    <t>Taxe sur dépôts de mitraille, véhicules usagés, abandonnés</t>
  </si>
  <si>
    <t>Taxe sur établissements dangereux, incommodes ou insalubres</t>
  </si>
  <si>
    <t>Autres taxes sur établissements dangereux, incommodes ou insalubres</t>
  </si>
  <si>
    <t>Taxe sur les banques et institutions financières</t>
  </si>
  <si>
    <t>Taxe sur les décharges</t>
  </si>
  <si>
    <t>Impôt sur location de chambre</t>
  </si>
  <si>
    <t>Impôts sur maisons closes</t>
  </si>
  <si>
    <t>Taxes diverses sur entreprise</t>
  </si>
  <si>
    <t>Impôts sur les spectacles &amp; divertissements</t>
  </si>
  <si>
    <t>Zone de secours</t>
  </si>
  <si>
    <t>Module de contrôle du budget de la zone de secours</t>
  </si>
  <si>
    <t>Taxe sur les bals publics</t>
  </si>
  <si>
    <t>Impôts sur les instruments de musique et de télévision</t>
  </si>
  <si>
    <t>Taxe sur le port de masques</t>
  </si>
  <si>
    <t>Taxes sur les jeux de quilles</t>
  </si>
  <si>
    <t>Taxes sur les appareils de jeux non automatiques</t>
  </si>
  <si>
    <t>Taxe sur les jeux et paris</t>
  </si>
  <si>
    <t>Taxe sur locations de bateaux</t>
  </si>
  <si>
    <t>Taxe sur la location d'animaux de selle</t>
  </si>
  <si>
    <t>Taxe sur lunaparks</t>
  </si>
  <si>
    <t>Autres taxes sur spectacles &amp; divertissements</t>
  </si>
  <si>
    <t>Taxe sur droit d'emplacements sur les marchés</t>
  </si>
  <si>
    <t>Taxe sur les forains, loges foraines et mobiles</t>
  </si>
  <si>
    <t>Taxe sur droits de quai</t>
  </si>
  <si>
    <t>Taxe sur placement de terrasses, tables, chaises, …</t>
  </si>
  <si>
    <t>Taxe sur le parking</t>
  </si>
  <si>
    <t>Taxe sur le stationnement de taxis et voitures de louage</t>
  </si>
  <si>
    <t>Taxe sur les kiosques à journaux, baraques à frites, …</t>
  </si>
  <si>
    <t>Taxe sur l'exploitation des plages et des rives</t>
  </si>
  <si>
    <t>Taxe sur les photographes et filmeurs</t>
  </si>
  <si>
    <t>Taxe sur les pompes à essence, huile, air comprimé</t>
  </si>
  <si>
    <t>Taxe sur distributeurs automatiques</t>
  </si>
  <si>
    <t>Taxe sur les occupations diverses de la voie publique</t>
  </si>
  <si>
    <t>Taxe sur les appareils de chargement et de déchargement</t>
  </si>
  <si>
    <t>Autres taxes d'occupation du domaine public</t>
  </si>
  <si>
    <t>Taxe sur patrimoine mobilier</t>
  </si>
  <si>
    <t>Taxe sur constructions, aménagements, bâtiments, palissades</t>
  </si>
  <si>
    <t>Impôt sur les balcons, loggias et marquises</t>
  </si>
  <si>
    <t>Impôt sur les gouttières, gargouilles, couvre-rigoles</t>
  </si>
  <si>
    <t>Impôts sur les entrées de cave, soupiraux, caves sous voirie</t>
  </si>
  <si>
    <t>Impôt sur les portes cochères</t>
  </si>
  <si>
    <t>Taxe sur les grillages et clôtures</t>
  </si>
  <si>
    <t>Taxe sur les chalets de vacances, d'agrément, caravanes</t>
  </si>
  <si>
    <t>Taxe sur terrains à bâtir non bâtis (loi du 29/03/1962 art. 70b)</t>
  </si>
  <si>
    <t>Taxe sur les antennes extérieures</t>
  </si>
  <si>
    <t>Taxe sur l'absence de place de parcage</t>
  </si>
  <si>
    <t>Taxe sur biens exonérés temporairement du précompte immobilier</t>
  </si>
  <si>
    <t xml:space="preserve">Taxe les secondes résidences </t>
  </si>
  <si>
    <t>Taxe sur les terrains non bâtis situés dans les dunes</t>
  </si>
  <si>
    <t>Taxe sur les immeubles inoccupés, inachevés, les taudis</t>
  </si>
  <si>
    <t>Taxe sur les ruines industrielles</t>
  </si>
  <si>
    <t>Taxe sur les bois &amp; forêts</t>
  </si>
  <si>
    <t>Taxe sur les piscines privées</t>
  </si>
  <si>
    <t>Taxe sur les espaces de bureaux</t>
  </si>
  <si>
    <t>Taxe sur les immeubles de commerce (taxe d'urbanisme)</t>
  </si>
  <si>
    <t>Autres impôts et taxes sur le patrimoine</t>
  </si>
  <si>
    <t>Taxe sur le personnel de maison et de service</t>
  </si>
  <si>
    <t>Taxe sur les chevaux de luxe</t>
  </si>
  <si>
    <t>Taxe sur les pigeonniers</t>
  </si>
  <si>
    <t>Taxe sur les chiens</t>
  </si>
  <si>
    <t>Taxe sur les permis de chasse et de port d'armes</t>
  </si>
  <si>
    <t>Taxe sur la tenderie</t>
  </si>
  <si>
    <t>Taxe sur les véhicules sans moteur</t>
  </si>
  <si>
    <t>Taxe sur les bicyclettes et cyclomoteurs</t>
  </si>
  <si>
    <t>Taxe dur les motocyclettes, bateaux et canots de plaisance</t>
  </si>
  <si>
    <t>Taxe sur le contrôle, le plombage et le pressage du houblon</t>
  </si>
  <si>
    <t>Taxe sur les stands de tir</t>
  </si>
  <si>
    <t>Taxe sur les courts de tennis</t>
  </si>
  <si>
    <t>Taxe sur le transport de personnes en état d'ivresse</t>
  </si>
  <si>
    <t>Taxes générales de la zone de police</t>
  </si>
  <si>
    <t>Taxe sur les terrains de golf</t>
  </si>
  <si>
    <t>Taxe sur le lâcher de pigeons</t>
  </si>
  <si>
    <t>Taxe sur "fausses alarmes"</t>
  </si>
  <si>
    <t>Autres taxes diverses de la zone de police</t>
  </si>
  <si>
    <t>Taxe additionnelle au précompte immobilier</t>
  </si>
  <si>
    <t xml:space="preserve">Taxe additionnelle à </t>
  </si>
  <si>
    <t>Taxe additionnelle à la taxe sur les automobiles</t>
  </si>
  <si>
    <t>Taxe additionnelle à la taxe sur les vélos et vélomoteurs</t>
  </si>
  <si>
    <t>Taxe additionnelle à la taxe à les motos, bateaux et canots de plaisance</t>
  </si>
  <si>
    <t>Taxe additionnelle à la taxe sur véhicules sans moteur</t>
  </si>
  <si>
    <t>Taxe additionnelle à la taxe à sur les chiens</t>
  </si>
  <si>
    <t>Taxe additionnelle aux taxes provinciales diverses</t>
  </si>
  <si>
    <t>Taxe additionnelle à la taxe d'environnement</t>
  </si>
  <si>
    <t>Centimes additionnels sur les taxes régionales sur immeubles inoccupés et délabrés</t>
  </si>
  <si>
    <t>Taxe additionnelle sur autres taxes régionales et communales</t>
  </si>
  <si>
    <t>Indemnités pour les petits dommages subis</t>
  </si>
  <si>
    <t>Retenues sur pension des mandataires</t>
  </si>
  <si>
    <t>Produits des amendes</t>
  </si>
  <si>
    <t>Dons manuels</t>
  </si>
  <si>
    <t>Participations dans les entreprises, asbl dans le traitement du personnel détaché</t>
  </si>
  <si>
    <t>Autres interventions diverses</t>
  </si>
  <si>
    <t>Récupération des revenus de transfert au secteur gouvernemental</t>
  </si>
  <si>
    <t>Subsides d'exploitation des autorités supérieures pour les entreprises</t>
  </si>
  <si>
    <t>Avantages sociaux et autres avantages spécifiques des autorités supérieures pour les entreprises</t>
  </si>
  <si>
    <t>Interventions dans les traitements et dépenses d'exploitations à charge des autorités supérieures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</si>
</sst>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d/mm/yyyy;@"/>
  </numFmts>
  <fonts count="25" x14ac:knownFonts="1">
    <font>
      <sz val="10"/>
      <name val="MS Sans Serif"/>
    </font>
    <font>
      <u/>
      <sz val="10"/>
      <color indexed="12"/>
      <name val="MS Sans Serif"/>
      <family val="2"/>
    </font>
    <font>
      <sz val="10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u/>
      <sz val="10"/>
      <name val="Trebuchet MS"/>
      <family val="2"/>
    </font>
    <font>
      <sz val="7"/>
      <name val="Trebuchet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Trebuchet MS"/>
      <family val="2"/>
    </font>
    <font>
      <b/>
      <sz val="10"/>
      <color indexed="53"/>
      <name val="Trebuchet MS"/>
      <family val="2"/>
    </font>
    <font>
      <b/>
      <u/>
      <sz val="10"/>
      <name val="Times New Roman"/>
      <family val="1"/>
    </font>
    <font>
      <sz val="10"/>
      <name val="Bookman Old Style"/>
      <family val="1"/>
    </font>
    <font>
      <b/>
      <sz val="10"/>
      <name val="Times New Roman"/>
      <family val="1"/>
    </font>
    <font>
      <sz val="10"/>
      <name val="Times New Roman"/>
      <family val="1"/>
    </font>
    <font>
      <u/>
      <sz val="12"/>
      <name val="Trebuchet MS"/>
      <family val="2"/>
    </font>
    <font>
      <sz val="9"/>
      <name val="Trebuchet MS"/>
      <family val="2"/>
    </font>
    <font>
      <b/>
      <sz val="11"/>
      <color indexed="9"/>
      <name val="Trebuchet MS"/>
      <family val="2"/>
    </font>
    <font>
      <b/>
      <sz val="10"/>
      <color indexed="9"/>
      <name val="Trebuchet MS"/>
      <family val="2"/>
    </font>
    <font>
      <b/>
      <sz val="12"/>
      <color indexed="10"/>
      <name val="Trebuchet MS"/>
      <family val="2"/>
    </font>
    <font>
      <b/>
      <u/>
      <sz val="16"/>
      <name val="Trebuchet MS"/>
      <family val="2"/>
    </font>
    <font>
      <i/>
      <sz val="10"/>
      <name val="Trebuchet MS"/>
      <family val="2"/>
    </font>
    <font>
      <sz val="12"/>
      <name val="Trebuchet MS"/>
      <family val="2"/>
    </font>
    <font>
      <b/>
      <sz val="10"/>
      <color rgb="FFFF0000"/>
      <name val="Trebuchet MS"/>
      <family val="2"/>
    </font>
    <font>
      <sz val="8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313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protection hidden="1"/>
    </xf>
    <xf numFmtId="0" fontId="4" fillId="0" borderId="0" xfId="2" applyFont="1" applyAlignment="1" applyProtection="1">
      <alignment vertical="center"/>
      <protection hidden="1"/>
    </xf>
    <xf numFmtId="0" fontId="4" fillId="0" borderId="5" xfId="2" applyFont="1" applyBorder="1" applyAlignment="1" applyProtection="1">
      <alignment vertical="center"/>
      <protection hidden="1"/>
    </xf>
    <xf numFmtId="0" fontId="4" fillId="0" borderId="6" xfId="2" applyFont="1" applyBorder="1" applyAlignment="1" applyProtection="1">
      <alignment vertical="center"/>
      <protection hidden="1"/>
    </xf>
    <xf numFmtId="0" fontId="4" fillId="0" borderId="7" xfId="2" applyFont="1" applyBorder="1" applyAlignment="1" applyProtection="1">
      <alignment vertical="center"/>
      <protection hidden="1"/>
    </xf>
    <xf numFmtId="0" fontId="4" fillId="0" borderId="8" xfId="2" applyFont="1" applyBorder="1" applyAlignment="1" applyProtection="1">
      <alignment vertical="center"/>
      <protection hidden="1"/>
    </xf>
    <xf numFmtId="0" fontId="4" fillId="0" borderId="9" xfId="2" applyFont="1" applyBorder="1" applyAlignment="1" applyProtection="1">
      <alignment vertical="center"/>
      <protection hidden="1"/>
    </xf>
    <xf numFmtId="0" fontId="4" fillId="0" borderId="10" xfId="2" applyFont="1" applyBorder="1" applyAlignment="1" applyProtection="1">
      <alignment vertical="center"/>
      <protection hidden="1"/>
    </xf>
    <xf numFmtId="0" fontId="4" fillId="0" borderId="2" xfId="2" applyFont="1" applyBorder="1" applyAlignment="1" applyProtection="1">
      <alignment vertical="center"/>
      <protection hidden="1"/>
    </xf>
    <xf numFmtId="0" fontId="4" fillId="0" borderId="11" xfId="2" applyFont="1" applyBorder="1" applyAlignment="1" applyProtection="1">
      <alignment vertical="center"/>
      <protection hidden="1"/>
    </xf>
    <xf numFmtId="0" fontId="4" fillId="0" borderId="0" xfId="2" applyFont="1" applyBorder="1" applyAlignment="1" applyProtection="1">
      <alignment vertical="center"/>
      <protection hidden="1"/>
    </xf>
    <xf numFmtId="0" fontId="4" fillId="0" borderId="3" xfId="2" applyFont="1" applyBorder="1" applyAlignment="1" applyProtection="1">
      <alignment vertical="center"/>
      <protection hidden="1"/>
    </xf>
    <xf numFmtId="0" fontId="15" fillId="0" borderId="11" xfId="2" applyFont="1" applyBorder="1" applyAlignment="1" applyProtection="1">
      <alignment horizontal="centerContinuous" vertical="center"/>
      <protection hidden="1"/>
    </xf>
    <xf numFmtId="0" fontId="4" fillId="0" borderId="0" xfId="2" applyFont="1" applyBorder="1" applyAlignment="1" applyProtection="1">
      <alignment horizontal="centerContinuous" vertical="center"/>
      <protection hidden="1"/>
    </xf>
    <xf numFmtId="0" fontId="4" fillId="0" borderId="3" xfId="2" applyFont="1" applyBorder="1" applyAlignment="1" applyProtection="1">
      <alignment horizontal="centerContinuous" vertical="center"/>
      <protection hidden="1"/>
    </xf>
    <xf numFmtId="0" fontId="4" fillId="0" borderId="12" xfId="2" applyFont="1" applyBorder="1" applyAlignment="1" applyProtection="1">
      <alignment vertical="center"/>
      <protection hidden="1"/>
    </xf>
    <xf numFmtId="0" fontId="4" fillId="0" borderId="13" xfId="2" applyFont="1" applyBorder="1" applyAlignment="1" applyProtection="1">
      <alignment vertical="center"/>
      <protection hidden="1"/>
    </xf>
    <xf numFmtId="0" fontId="4" fillId="0" borderId="0" xfId="0" applyFont="1" applyFill="1" applyProtection="1">
      <protection hidden="1"/>
    </xf>
    <xf numFmtId="4" fontId="4" fillId="2" borderId="4" xfId="0" applyNumberFormat="1" applyFont="1" applyFill="1" applyBorder="1" applyProtection="1">
      <protection locked="0"/>
    </xf>
    <xf numFmtId="4" fontId="4" fillId="2" borderId="14" xfId="0" applyNumberFormat="1" applyFont="1" applyFill="1" applyBorder="1" applyProtection="1">
      <protection locked="0"/>
    </xf>
    <xf numFmtId="4" fontId="4" fillId="2" borderId="9" xfId="0" applyNumberFormat="1" applyFont="1" applyFill="1" applyBorder="1" applyProtection="1">
      <protection locked="0"/>
    </xf>
    <xf numFmtId="4" fontId="4" fillId="2" borderId="11" xfId="0" applyNumberFormat="1" applyFont="1" applyFill="1" applyBorder="1" applyProtection="1">
      <protection locked="0"/>
    </xf>
    <xf numFmtId="0" fontId="6" fillId="0" borderId="9" xfId="0" applyFont="1" applyBorder="1" applyAlignment="1" applyProtection="1">
      <alignment vertical="center" wrapText="1" shrinkToFit="1"/>
      <protection hidden="1"/>
    </xf>
    <xf numFmtId="0" fontId="6" fillId="0" borderId="11" xfId="0" applyFont="1" applyBorder="1" applyAlignment="1" applyProtection="1">
      <alignment vertical="center" wrapText="1" shrinkToFit="1"/>
      <protection hidden="1"/>
    </xf>
    <xf numFmtId="0" fontId="6" fillId="0" borderId="6" xfId="0" applyFont="1" applyBorder="1" applyAlignment="1" applyProtection="1">
      <alignment vertical="center" wrapText="1" shrinkToFit="1"/>
      <protection hidden="1"/>
    </xf>
    <xf numFmtId="4" fontId="4" fillId="2" borderId="2" xfId="0" applyNumberFormat="1" applyFont="1" applyFill="1" applyBorder="1" applyProtection="1">
      <protection locked="0"/>
    </xf>
    <xf numFmtId="4" fontId="4" fillId="2" borderId="3" xfId="0" applyNumberFormat="1" applyFont="1" applyFill="1" applyBorder="1" applyProtection="1">
      <protection locked="0"/>
    </xf>
    <xf numFmtId="4" fontId="4" fillId="2" borderId="15" xfId="0" applyNumberFormat="1" applyFont="1" applyFill="1" applyBorder="1" applyProtection="1">
      <protection locked="0"/>
    </xf>
    <xf numFmtId="4" fontId="4" fillId="2" borderId="16" xfId="0" applyNumberFormat="1" applyFont="1" applyFill="1" applyBorder="1" applyProtection="1">
      <protection locked="0"/>
    </xf>
    <xf numFmtId="4" fontId="3" fillId="0" borderId="16" xfId="0" applyNumberFormat="1" applyFont="1" applyFill="1" applyBorder="1" applyProtection="1">
      <protection locked="0"/>
    </xf>
    <xf numFmtId="4" fontId="3" fillId="0" borderId="16" xfId="0" applyNumberFormat="1" applyFont="1" applyFill="1" applyBorder="1" applyProtection="1">
      <protection hidden="1"/>
    </xf>
    <xf numFmtId="4" fontId="3" fillId="0" borderId="17" xfId="0" applyNumberFormat="1" applyFont="1" applyFill="1" applyBorder="1" applyProtection="1"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18" xfId="0" applyFont="1" applyFill="1" applyBorder="1" applyAlignment="1" applyProtection="1">
      <alignment horizontal="center"/>
      <protection hidden="1"/>
    </xf>
    <xf numFmtId="0" fontId="4" fillId="0" borderId="20" xfId="0" applyFont="1" applyBorder="1" applyProtection="1">
      <protection hidden="1"/>
    </xf>
    <xf numFmtId="0" fontId="4" fillId="0" borderId="20" xfId="0" applyFont="1" applyFill="1" applyBorder="1" applyProtection="1"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3" fillId="0" borderId="21" xfId="0" applyFont="1" applyFill="1" applyBorder="1" applyAlignment="1" applyProtection="1">
      <alignment horizontal="center"/>
      <protection hidden="1"/>
    </xf>
    <xf numFmtId="4" fontId="3" fillId="0" borderId="22" xfId="0" applyNumberFormat="1" applyFont="1" applyFill="1" applyBorder="1" applyProtection="1">
      <protection locked="0"/>
    </xf>
    <xf numFmtId="0" fontId="3" fillId="0" borderId="15" xfId="0" applyFont="1" applyBorder="1" applyAlignment="1" applyProtection="1">
      <alignment horizontal="center"/>
      <protection hidden="1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49" fontId="4" fillId="2" borderId="15" xfId="0" applyNumberFormat="1" applyFont="1" applyFill="1" applyBorder="1" applyAlignment="1" applyProtection="1">
      <alignment horizontal="center"/>
      <protection locked="0"/>
    </xf>
    <xf numFmtId="49" fontId="4" fillId="2" borderId="16" xfId="0" applyNumberFormat="1" applyFont="1" applyFill="1" applyBorder="1" applyAlignment="1" applyProtection="1">
      <alignment horizontal="center"/>
      <protection locked="0"/>
    </xf>
    <xf numFmtId="49" fontId="4" fillId="2" borderId="17" xfId="0" applyNumberFormat="1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1" fontId="4" fillId="0" borderId="0" xfId="0" applyNumberFormat="1" applyFont="1" applyAlignment="1">
      <alignment horizontal="center"/>
    </xf>
    <xf numFmtId="0" fontId="5" fillId="0" borderId="0" xfId="0" applyFont="1" applyProtection="1">
      <protection hidden="1"/>
    </xf>
    <xf numFmtId="0" fontId="3" fillId="0" borderId="9" xfId="0" applyFont="1" applyBorder="1" applyProtection="1">
      <protection hidden="1"/>
    </xf>
    <xf numFmtId="0" fontId="4" fillId="0" borderId="10" xfId="0" applyFont="1" applyBorder="1" applyProtection="1">
      <protection hidden="1"/>
    </xf>
    <xf numFmtId="0" fontId="4" fillId="0" borderId="2" xfId="0" applyFont="1" applyBorder="1" applyProtection="1">
      <protection hidden="1"/>
    </xf>
    <xf numFmtId="164" fontId="3" fillId="0" borderId="14" xfId="0" applyNumberFormat="1" applyFont="1" applyBorder="1" applyAlignment="1" applyProtection="1">
      <alignment horizontal="center"/>
      <protection hidden="1"/>
    </xf>
    <xf numFmtId="0" fontId="3" fillId="0" borderId="11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4" fillId="0" borderId="3" xfId="0" applyFont="1" applyBorder="1" applyProtection="1">
      <protection hidden="1"/>
    </xf>
    <xf numFmtId="164" fontId="3" fillId="0" borderId="23" xfId="0" applyNumberFormat="1" applyFont="1" applyBorder="1" applyAlignment="1" applyProtection="1">
      <alignment horizontal="center"/>
      <protection hidden="1"/>
    </xf>
    <xf numFmtId="0" fontId="3" fillId="0" borderId="6" xfId="0" applyFont="1" applyBorder="1" applyProtection="1">
      <protection hidden="1"/>
    </xf>
    <xf numFmtId="0" fontId="4" fillId="0" borderId="12" xfId="0" applyFont="1" applyBorder="1" applyProtection="1">
      <protection hidden="1"/>
    </xf>
    <xf numFmtId="0" fontId="4" fillId="0" borderId="13" xfId="0" applyFont="1" applyBorder="1" applyProtection="1">
      <protection hidden="1"/>
    </xf>
    <xf numFmtId="0" fontId="3" fillId="2" borderId="18" xfId="0" applyFont="1" applyFill="1" applyBorder="1" applyAlignment="1">
      <alignment horizontal="center"/>
    </xf>
    <xf numFmtId="0" fontId="4" fillId="0" borderId="20" xfId="0" applyFont="1" applyBorder="1"/>
    <xf numFmtId="0" fontId="5" fillId="0" borderId="0" xfId="0" applyFont="1"/>
    <xf numFmtId="0" fontId="3" fillId="0" borderId="4" xfId="0" applyFont="1" applyBorder="1" applyAlignment="1">
      <alignment horizontal="center"/>
    </xf>
    <xf numFmtId="0" fontId="4" fillId="0" borderId="1" xfId="0" applyFont="1" applyBorder="1"/>
    <xf numFmtId="165" fontId="4" fillId="2" borderId="1" xfId="0" applyNumberFormat="1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4" fontId="4" fillId="0" borderId="1" xfId="0" applyNumberFormat="1" applyFont="1" applyFill="1" applyBorder="1"/>
    <xf numFmtId="0" fontId="3" fillId="0" borderId="1" xfId="0" applyFont="1" applyBorder="1"/>
    <xf numFmtId="0" fontId="3" fillId="0" borderId="4" xfId="0" applyFont="1" applyBorder="1"/>
    <xf numFmtId="0" fontId="4" fillId="0" borderId="1" xfId="0" applyFont="1" applyBorder="1" applyAlignment="1">
      <alignment horizontal="center"/>
    </xf>
    <xf numFmtId="0" fontId="3" fillId="0" borderId="4" xfId="0" applyFont="1" applyBorder="1" applyAlignment="1"/>
    <xf numFmtId="0" fontId="4" fillId="2" borderId="1" xfId="0" applyFont="1" applyFill="1" applyBorder="1"/>
    <xf numFmtId="4" fontId="4" fillId="2" borderId="1" xfId="0" applyNumberFormat="1" applyFont="1" applyFill="1" applyBorder="1"/>
    <xf numFmtId="4" fontId="4" fillId="0" borderId="1" xfId="0" applyNumberFormat="1" applyFont="1" applyBorder="1"/>
    <xf numFmtId="0" fontId="4" fillId="0" borderId="1" xfId="0" applyFont="1" applyFill="1" applyBorder="1"/>
    <xf numFmtId="4" fontId="3" fillId="0" borderId="1" xfId="0" applyNumberFormat="1" applyFont="1" applyBorder="1"/>
    <xf numFmtId="4" fontId="3" fillId="0" borderId="1" xfId="0" applyNumberFormat="1" applyFont="1" applyFill="1" applyBorder="1"/>
    <xf numFmtId="0" fontId="4" fillId="0" borderId="23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12" xfId="0" applyFont="1" applyBorder="1"/>
    <xf numFmtId="0" fontId="4" fillId="0" borderId="24" xfId="0" applyFont="1" applyBorder="1"/>
    <xf numFmtId="0" fontId="3" fillId="3" borderId="4" xfId="0" applyFont="1" applyFill="1" applyBorder="1"/>
    <xf numFmtId="0" fontId="9" fillId="3" borderId="25" xfId="0" applyFont="1" applyFill="1" applyBorder="1" applyAlignment="1" applyProtection="1">
      <protection hidden="1"/>
    </xf>
    <xf numFmtId="0" fontId="4" fillId="3" borderId="26" xfId="0" applyFont="1" applyFill="1" applyBorder="1" applyAlignment="1" applyProtection="1">
      <alignment horizontal="center"/>
      <protection hidden="1"/>
    </xf>
    <xf numFmtId="0" fontId="4" fillId="3" borderId="26" xfId="0" applyFont="1" applyFill="1" applyBorder="1" applyProtection="1">
      <protection hidden="1"/>
    </xf>
    <xf numFmtId="0" fontId="4" fillId="3" borderId="27" xfId="0" applyFont="1" applyFill="1" applyBorder="1" applyProtection="1">
      <protection hidden="1"/>
    </xf>
    <xf numFmtId="0" fontId="3" fillId="3" borderId="25" xfId="0" applyFont="1" applyFill="1" applyBorder="1"/>
    <xf numFmtId="0" fontId="4" fillId="3" borderId="26" xfId="0" applyFont="1" applyFill="1" applyBorder="1"/>
    <xf numFmtId="0" fontId="4" fillId="3" borderId="27" xfId="0" applyFont="1" applyFill="1" applyBorder="1"/>
    <xf numFmtId="0" fontId="4" fillId="0" borderId="1" xfId="0" applyFont="1" applyBorder="1" applyProtection="1">
      <protection hidden="1"/>
    </xf>
    <xf numFmtId="164" fontId="4" fillId="0" borderId="1" xfId="0" applyNumberFormat="1" applyFont="1" applyBorder="1" applyAlignment="1" applyProtection="1">
      <alignment horizontal="center"/>
      <protection hidden="1"/>
    </xf>
    <xf numFmtId="0" fontId="4" fillId="0" borderId="4" xfId="0" applyFont="1" applyBorder="1" applyProtection="1">
      <protection hidden="1"/>
    </xf>
    <xf numFmtId="0" fontId="3" fillId="0" borderId="28" xfId="0" applyFont="1" applyBorder="1" applyProtection="1">
      <protection hidden="1"/>
    </xf>
    <xf numFmtId="0" fontId="3" fillId="0" borderId="29" xfId="0" applyFont="1" applyBorder="1" applyProtection="1">
      <protection hidden="1"/>
    </xf>
    <xf numFmtId="0" fontId="3" fillId="0" borderId="30" xfId="0" applyFont="1" applyBorder="1" applyProtection="1">
      <protection hidden="1"/>
    </xf>
    <xf numFmtId="0" fontId="4" fillId="0" borderId="23" xfId="0" applyFont="1" applyBorder="1" applyProtection="1">
      <protection hidden="1"/>
    </xf>
    <xf numFmtId="0" fontId="3" fillId="3" borderId="28" xfId="0" applyFont="1" applyFill="1" applyBorder="1" applyAlignment="1" applyProtection="1">
      <alignment horizontal="center"/>
      <protection hidden="1"/>
    </xf>
    <xf numFmtId="0" fontId="3" fillId="3" borderId="29" xfId="0" applyFont="1" applyFill="1" applyBorder="1" applyAlignment="1" applyProtection="1">
      <alignment horizontal="center"/>
      <protection hidden="1"/>
    </xf>
    <xf numFmtId="0" fontId="3" fillId="3" borderId="30" xfId="0" applyFont="1" applyFill="1" applyBorder="1" applyAlignment="1" applyProtection="1">
      <alignment horizontal="center"/>
      <protection hidden="1"/>
    </xf>
    <xf numFmtId="0" fontId="3" fillId="0" borderId="23" xfId="0" applyFont="1" applyBorder="1" applyProtection="1">
      <protection hidden="1"/>
    </xf>
    <xf numFmtId="164" fontId="4" fillId="0" borderId="31" xfId="0" applyNumberFormat="1" applyFont="1" applyBorder="1" applyAlignment="1" applyProtection="1">
      <alignment horizontal="center"/>
      <protection hidden="1"/>
    </xf>
    <xf numFmtId="0" fontId="4" fillId="0" borderId="31" xfId="0" applyFont="1" applyBorder="1" applyProtection="1">
      <protection hidden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3" borderId="32" xfId="0" applyFont="1" applyFill="1" applyBorder="1"/>
    <xf numFmtId="0" fontId="4" fillId="3" borderId="33" xfId="0" applyFont="1" applyFill="1" applyBorder="1"/>
    <xf numFmtId="0" fontId="4" fillId="0" borderId="23" xfId="0" applyFont="1" applyBorder="1" applyAlignment="1">
      <alignment horizontal="center"/>
    </xf>
    <xf numFmtId="4" fontId="4" fillId="0" borderId="23" xfId="0" applyNumberFormat="1" applyFont="1" applyBorder="1"/>
    <xf numFmtId="0" fontId="4" fillId="0" borderId="7" xfId="0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0" xfId="0" applyFont="1" applyFill="1" applyBorder="1"/>
    <xf numFmtId="0" fontId="4" fillId="4" borderId="0" xfId="0" applyFont="1" applyFill="1" applyAlignment="1">
      <alignment vertical="center"/>
    </xf>
    <xf numFmtId="0" fontId="18" fillId="5" borderId="18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19" fillId="4" borderId="0" xfId="0" applyFont="1" applyFill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18" fillId="5" borderId="18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2" borderId="34" xfId="2" applyFont="1" applyFill="1" applyBorder="1" applyAlignment="1" applyProtection="1">
      <alignment vertical="center"/>
      <protection locked="0"/>
    </xf>
    <xf numFmtId="0" fontId="3" fillId="2" borderId="35" xfId="2" applyFont="1" applyFill="1" applyBorder="1" applyAlignment="1" applyProtection="1">
      <alignment vertical="center"/>
      <protection locked="0"/>
    </xf>
    <xf numFmtId="0" fontId="3" fillId="2" borderId="36" xfId="2" applyFont="1" applyFill="1" applyBorder="1" applyAlignment="1" applyProtection="1">
      <alignment vertical="center"/>
      <protection locked="0"/>
    </xf>
    <xf numFmtId="0" fontId="1" fillId="0" borderId="18" xfId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4" fontId="4" fillId="2" borderId="1" xfId="0" applyNumberFormat="1" applyFont="1" applyFill="1" applyBorder="1" applyAlignment="1"/>
    <xf numFmtId="0" fontId="3" fillId="3" borderId="25" xfId="0" applyFont="1" applyFill="1" applyBorder="1" applyProtection="1">
      <protection locked="0"/>
    </xf>
    <xf numFmtId="0" fontId="3" fillId="3" borderId="26" xfId="0" applyFont="1" applyFill="1" applyBorder="1" applyProtection="1">
      <protection locked="0"/>
    </xf>
    <xf numFmtId="0" fontId="3" fillId="3" borderId="27" xfId="0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3" borderId="28" xfId="0" applyFont="1" applyFill="1" applyBorder="1" applyAlignment="1" applyProtection="1">
      <alignment horizontal="center"/>
      <protection locked="0"/>
    </xf>
    <xf numFmtId="0" fontId="3" fillId="3" borderId="30" xfId="0" applyFont="1" applyFill="1" applyBorder="1" applyAlignment="1" applyProtection="1">
      <alignment horizontal="center"/>
      <protection locked="0"/>
    </xf>
    <xf numFmtId="4" fontId="4" fillId="2" borderId="17" xfId="0" applyNumberFormat="1" applyFont="1" applyFill="1" applyBorder="1" applyProtection="1">
      <protection locked="0"/>
    </xf>
    <xf numFmtId="4" fontId="4" fillId="2" borderId="13" xfId="0" applyNumberFormat="1" applyFont="1" applyFill="1" applyBorder="1" applyProtection="1">
      <protection locked="0"/>
    </xf>
    <xf numFmtId="4" fontId="4" fillId="2" borderId="23" xfId="0" applyNumberFormat="1" applyFont="1" applyFill="1" applyBorder="1" applyProtection="1">
      <protection locked="0"/>
    </xf>
    <xf numFmtId="4" fontId="4" fillId="2" borderId="6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hidden="1"/>
    </xf>
    <xf numFmtId="0" fontId="4" fillId="0" borderId="0" xfId="0" applyFont="1" applyAlignment="1" applyProtection="1">
      <alignment vertical="center"/>
    </xf>
    <xf numFmtId="4" fontId="4" fillId="0" borderId="0" xfId="0" applyNumberFormat="1" applyFont="1" applyAlignment="1" applyProtection="1">
      <alignment vertical="center"/>
    </xf>
    <xf numFmtId="0" fontId="3" fillId="3" borderId="25" xfId="0" applyFont="1" applyFill="1" applyBorder="1" applyAlignment="1" applyProtection="1">
      <alignment vertical="center"/>
    </xf>
    <xf numFmtId="0" fontId="4" fillId="3" borderId="26" xfId="0" applyFont="1" applyFill="1" applyBorder="1" applyAlignment="1" applyProtection="1">
      <alignment vertical="center"/>
    </xf>
    <xf numFmtId="4" fontId="4" fillId="3" borderId="26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4" fontId="4" fillId="0" borderId="12" xfId="0" applyNumberFormat="1" applyFont="1" applyBorder="1" applyAlignment="1" applyProtection="1">
      <alignment vertical="center"/>
    </xf>
    <xf numFmtId="4" fontId="4" fillId="0" borderId="13" xfId="0" applyNumberFormat="1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4" fillId="0" borderId="37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4" fontId="4" fillId="0" borderId="1" xfId="0" applyNumberFormat="1" applyFont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horizontal="center" vertical="center"/>
    </xf>
    <xf numFmtId="4" fontId="4" fillId="0" borderId="4" xfId="0" applyNumberFormat="1" applyFont="1" applyFill="1" applyBorder="1" applyAlignment="1" applyProtection="1">
      <alignment vertical="center"/>
    </xf>
    <xf numFmtId="4" fontId="4" fillId="0" borderId="4" xfId="0" applyNumberFormat="1" applyFont="1" applyBorder="1" applyAlignment="1" applyProtection="1">
      <alignment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4" fontId="4" fillId="0" borderId="14" xfId="0" applyNumberFormat="1" applyFont="1" applyFill="1" applyBorder="1" applyAlignment="1" applyProtection="1">
      <alignment vertical="center"/>
    </xf>
    <xf numFmtId="4" fontId="4" fillId="0" borderId="14" xfId="0" applyNumberFormat="1" applyFont="1" applyBorder="1" applyAlignment="1" applyProtection="1">
      <alignment vertical="center"/>
    </xf>
    <xf numFmtId="4" fontId="4" fillId="0" borderId="3" xfId="0" applyNumberFormat="1" applyFont="1" applyBorder="1" applyAlignment="1" applyProtection="1">
      <alignment vertical="center"/>
    </xf>
    <xf numFmtId="4" fontId="3" fillId="0" borderId="14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4" fontId="3" fillId="0" borderId="19" xfId="0" applyNumberFormat="1" applyFont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vertical="center"/>
    </xf>
    <xf numFmtId="4" fontId="3" fillId="0" borderId="4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4" fontId="4" fillId="0" borderId="0" xfId="0" applyNumberFormat="1" applyFont="1" applyBorder="1" applyAlignment="1" applyProtection="1">
      <alignment vertical="center"/>
    </xf>
    <xf numFmtId="4" fontId="3" fillId="0" borderId="0" xfId="0" applyNumberFormat="1" applyFont="1" applyBorder="1" applyAlignment="1" applyProtection="1">
      <alignment horizontal="right" vertical="center"/>
    </xf>
    <xf numFmtId="4" fontId="3" fillId="0" borderId="18" xfId="0" applyNumberFormat="1" applyFont="1" applyBorder="1" applyAlignment="1" applyProtection="1">
      <alignment vertical="center"/>
    </xf>
    <xf numFmtId="4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25" xfId="0" applyFont="1" applyFill="1" applyBorder="1" applyProtection="1"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4" borderId="31" xfId="0" applyFont="1" applyFill="1" applyBorder="1" applyProtection="1">
      <protection hidden="1"/>
    </xf>
    <xf numFmtId="0" fontId="4" fillId="0" borderId="31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right"/>
      <protection hidden="1"/>
    </xf>
    <xf numFmtId="0" fontId="4" fillId="0" borderId="4" xfId="0" applyFont="1" applyBorder="1" applyAlignment="1" applyProtection="1">
      <alignment horizontal="right"/>
      <protection hidden="1"/>
    </xf>
    <xf numFmtId="0" fontId="3" fillId="0" borderId="28" xfId="0" applyFont="1" applyBorder="1" applyAlignment="1" applyProtection="1">
      <alignment horizontal="right"/>
      <protection hidden="1"/>
    </xf>
    <xf numFmtId="4" fontId="4" fillId="2" borderId="1" xfId="0" applyNumberFormat="1" applyFont="1" applyFill="1" applyBorder="1" applyProtection="1">
      <protection locked="0"/>
    </xf>
    <xf numFmtId="0" fontId="4" fillId="3" borderId="33" xfId="0" applyFont="1" applyFill="1" applyBorder="1" applyProtection="1"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17" fillId="6" borderId="25" xfId="0" applyFont="1" applyFill="1" applyBorder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4" fillId="0" borderId="38" xfId="0" applyFont="1" applyBorder="1" applyProtection="1">
      <protection hidden="1"/>
    </xf>
    <xf numFmtId="0" fontId="4" fillId="0" borderId="33" xfId="0" applyFont="1" applyBorder="1" applyProtection="1">
      <protection hidden="1"/>
    </xf>
    <xf numFmtId="0" fontId="3" fillId="0" borderId="39" xfId="0" applyFont="1" applyBorder="1" applyProtection="1">
      <protection hidden="1"/>
    </xf>
    <xf numFmtId="0" fontId="4" fillId="0" borderId="40" xfId="0" applyFont="1" applyBorder="1" applyProtection="1">
      <protection hidden="1"/>
    </xf>
    <xf numFmtId="0" fontId="3" fillId="0" borderId="39" xfId="0" quotePrefix="1" applyFont="1" applyBorder="1" applyProtection="1">
      <protection hidden="1"/>
    </xf>
    <xf numFmtId="0" fontId="3" fillId="0" borderId="41" xfId="0" applyFont="1" applyBorder="1" applyProtection="1">
      <protection hidden="1"/>
    </xf>
    <xf numFmtId="0" fontId="4" fillId="0" borderId="42" xfId="0" applyFont="1" applyBorder="1" applyProtection="1">
      <protection hidden="1"/>
    </xf>
    <xf numFmtId="0" fontId="4" fillId="3" borderId="15" xfId="0" applyFont="1" applyFill="1" applyBorder="1" applyProtection="1">
      <protection hidden="1"/>
    </xf>
    <xf numFmtId="0" fontId="4" fillId="0" borderId="18" xfId="0" applyFont="1" applyBorder="1" applyProtection="1"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25" xfId="0" applyFont="1" applyFill="1" applyBorder="1" applyAlignment="1" applyProtection="1">
      <alignment horizontal="center" vertical="center"/>
      <protection hidden="1"/>
    </xf>
    <xf numFmtId="4" fontId="4" fillId="0" borderId="23" xfId="0" applyNumberFormat="1" applyFont="1" applyBorder="1" applyProtection="1">
      <protection hidden="1"/>
    </xf>
    <xf numFmtId="4" fontId="4" fillId="0" borderId="1" xfId="0" applyNumberFormat="1" applyFont="1" applyBorder="1" applyProtection="1">
      <protection hidden="1"/>
    </xf>
    <xf numFmtId="0" fontId="4" fillId="0" borderId="9" xfId="0" applyFont="1" applyBorder="1" applyProtection="1">
      <protection hidden="1"/>
    </xf>
    <xf numFmtId="0" fontId="4" fillId="0" borderId="6" xfId="0" applyFont="1" applyBorder="1" applyProtection="1">
      <protection hidden="1"/>
    </xf>
    <xf numFmtId="0" fontId="4" fillId="0" borderId="1" xfId="0" applyFont="1" applyBorder="1" applyAlignment="1" applyProtection="1">
      <alignment horizontal="right"/>
      <protection hidden="1"/>
    </xf>
    <xf numFmtId="0" fontId="3" fillId="0" borderId="0" xfId="0" applyFont="1" applyBorder="1" applyProtection="1">
      <protection hidden="1"/>
    </xf>
    <xf numFmtId="4" fontId="3" fillId="0" borderId="23" xfId="0" applyNumberFormat="1" applyFont="1" applyBorder="1" applyProtection="1">
      <protection hidden="1"/>
    </xf>
    <xf numFmtId="0" fontId="3" fillId="0" borderId="12" xfId="0" applyFont="1" applyBorder="1" applyProtection="1">
      <protection hidden="1"/>
    </xf>
    <xf numFmtId="0" fontId="4" fillId="2" borderId="23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3" fillId="3" borderId="27" xfId="0" applyFont="1" applyFill="1" applyBorder="1" applyProtection="1">
      <protection hidden="1"/>
    </xf>
    <xf numFmtId="0" fontId="3" fillId="0" borderId="28" xfId="0" applyFont="1" applyBorder="1" applyAlignment="1" applyProtection="1">
      <alignment horizontal="center"/>
      <protection hidden="1"/>
    </xf>
    <xf numFmtId="4" fontId="4" fillId="0" borderId="0" xfId="0" applyNumberFormat="1" applyFont="1" applyProtection="1">
      <protection hidden="1"/>
    </xf>
    <xf numFmtId="10" fontId="4" fillId="0" borderId="23" xfId="0" applyNumberFormat="1" applyFont="1" applyBorder="1" applyAlignment="1" applyProtection="1">
      <alignment horizontal="center"/>
      <protection hidden="1"/>
    </xf>
    <xf numFmtId="10" fontId="4" fillId="0" borderId="1" xfId="0" applyNumberFormat="1" applyFont="1" applyBorder="1" applyAlignment="1" applyProtection="1">
      <alignment horizontal="center"/>
      <protection hidden="1"/>
    </xf>
    <xf numFmtId="4" fontId="4" fillId="0" borderId="14" xfId="0" applyNumberFormat="1" applyFont="1" applyBorder="1" applyProtection="1">
      <protection hidden="1"/>
    </xf>
    <xf numFmtId="0" fontId="4" fillId="0" borderId="23" xfId="0" applyFont="1" applyBorder="1" applyAlignment="1" applyProtection="1">
      <alignment horizontal="right"/>
      <protection hidden="1"/>
    </xf>
    <xf numFmtId="0" fontId="3" fillId="0" borderId="7" xfId="0" applyFont="1" applyBorder="1" applyProtection="1">
      <protection hidden="1"/>
    </xf>
    <xf numFmtId="0" fontId="3" fillId="0" borderId="19" xfId="0" applyFont="1" applyBorder="1" applyProtection="1">
      <protection hidden="1"/>
    </xf>
    <xf numFmtId="0" fontId="3" fillId="0" borderId="1" xfId="0" applyFont="1" applyBorder="1" applyProtection="1">
      <protection hidden="1"/>
    </xf>
    <xf numFmtId="0" fontId="3" fillId="3" borderId="32" xfId="0" applyFont="1" applyFill="1" applyBorder="1" applyProtection="1">
      <protection hidden="1"/>
    </xf>
    <xf numFmtId="0" fontId="4" fillId="3" borderId="38" xfId="0" applyFont="1" applyFill="1" applyBorder="1" applyProtection="1">
      <protection hidden="1"/>
    </xf>
    <xf numFmtId="10" fontId="3" fillId="2" borderId="1" xfId="0" applyNumberFormat="1" applyFont="1" applyFill="1" applyBorder="1" applyAlignment="1" applyProtection="1">
      <alignment horizontal="center"/>
      <protection locked="0"/>
    </xf>
    <xf numFmtId="0" fontId="4" fillId="4" borderId="11" xfId="0" applyFont="1" applyFill="1" applyBorder="1" applyProtection="1">
      <protection hidden="1"/>
    </xf>
    <xf numFmtId="0" fontId="4" fillId="4" borderId="0" xfId="0" applyFont="1" applyFill="1" applyBorder="1" applyProtection="1">
      <protection hidden="1"/>
    </xf>
    <xf numFmtId="0" fontId="4" fillId="4" borderId="3" xfId="0" applyFont="1" applyFill="1" applyBorder="1" applyProtection="1">
      <protection hidden="1"/>
    </xf>
    <xf numFmtId="0" fontId="4" fillId="0" borderId="4" xfId="0" applyFont="1" applyBorder="1" applyAlignment="1" applyProtection="1">
      <alignment horizontal="center"/>
      <protection hidden="1"/>
    </xf>
    <xf numFmtId="4" fontId="4" fillId="0" borderId="4" xfId="0" applyNumberFormat="1" applyFont="1" applyBorder="1" applyProtection="1">
      <protection hidden="1"/>
    </xf>
    <xf numFmtId="0" fontId="3" fillId="3" borderId="18" xfId="0" applyFont="1" applyFill="1" applyBorder="1" applyAlignment="1" applyProtection="1">
      <alignment horizontal="center"/>
      <protection hidden="1"/>
    </xf>
    <xf numFmtId="4" fontId="3" fillId="0" borderId="1" xfId="0" applyNumberFormat="1" applyFont="1" applyBorder="1" applyProtection="1">
      <protection hidden="1"/>
    </xf>
    <xf numFmtId="10" fontId="3" fillId="0" borderId="1" xfId="0" applyNumberFormat="1" applyFont="1" applyBorder="1" applyProtection="1">
      <protection hidden="1"/>
    </xf>
    <xf numFmtId="0" fontId="4" fillId="0" borderId="2" xfId="0" applyFont="1" applyBorder="1" applyAlignment="1" applyProtection="1">
      <alignment horizontal="center"/>
      <protection hidden="1"/>
    </xf>
    <xf numFmtId="4" fontId="3" fillId="0" borderId="30" xfId="0" applyNumberFormat="1" applyFont="1" applyBorder="1" applyProtection="1">
      <protection hidden="1"/>
    </xf>
    <xf numFmtId="0" fontId="4" fillId="0" borderId="11" xfId="0" applyFont="1" applyBorder="1" applyProtection="1">
      <protection hidden="1"/>
    </xf>
    <xf numFmtId="0" fontId="3" fillId="4" borderId="37" xfId="0" applyFont="1" applyFill="1" applyBorder="1" applyAlignment="1" applyProtection="1">
      <alignment horizontal="center"/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0" fontId="20" fillId="0" borderId="11" xfId="2" applyFont="1" applyBorder="1" applyAlignment="1" applyProtection="1">
      <alignment horizontal="centerContinuous" vertical="center"/>
      <protection hidden="1"/>
    </xf>
    <xf numFmtId="0" fontId="1" fillId="0" borderId="18" xfId="1" applyFont="1" applyFill="1" applyBorder="1" applyAlignment="1">
      <alignment horizontal="center" vertical="center"/>
    </xf>
    <xf numFmtId="0" fontId="4" fillId="0" borderId="43" xfId="0" applyFont="1" applyBorder="1"/>
    <xf numFmtId="0" fontId="21" fillId="0" borderId="0" xfId="0" applyFont="1"/>
    <xf numFmtId="0" fontId="4" fillId="3" borderId="20" xfId="0" applyFont="1" applyFill="1" applyBorder="1" applyProtection="1">
      <protection hidden="1"/>
    </xf>
    <xf numFmtId="0" fontId="4" fillId="0" borderId="39" xfId="0" applyFont="1" applyBorder="1" applyProtection="1">
      <protection hidden="1"/>
    </xf>
    <xf numFmtId="0" fontId="3" fillId="7" borderId="32" xfId="2" applyFont="1" applyFill="1" applyBorder="1" applyAlignment="1" applyProtection="1">
      <alignment vertical="center"/>
      <protection hidden="1"/>
    </xf>
    <xf numFmtId="0" fontId="3" fillId="7" borderId="5" xfId="2" applyFont="1" applyFill="1" applyBorder="1" applyAlignment="1" applyProtection="1">
      <alignment vertical="center"/>
      <protection hidden="1"/>
    </xf>
    <xf numFmtId="0" fontId="4" fillId="7" borderId="34" xfId="2" applyFont="1" applyFill="1" applyBorder="1" applyAlignment="1" applyProtection="1">
      <alignment vertical="center"/>
      <protection hidden="1"/>
    </xf>
    <xf numFmtId="0" fontId="3" fillId="7" borderId="39" xfId="2" applyFont="1" applyFill="1" applyBorder="1" applyAlignment="1" applyProtection="1">
      <alignment vertical="center"/>
      <protection hidden="1"/>
    </xf>
    <xf numFmtId="0" fontId="3" fillId="7" borderId="41" xfId="2" applyFont="1" applyFill="1" applyBorder="1" applyAlignment="1" applyProtection="1">
      <alignment vertical="center"/>
      <protection hidden="1"/>
    </xf>
    <xf numFmtId="0" fontId="3" fillId="7" borderId="20" xfId="2" applyFont="1" applyFill="1" applyBorder="1" applyAlignment="1" applyProtection="1">
      <alignment vertical="center"/>
      <protection hidden="1"/>
    </xf>
    <xf numFmtId="0" fontId="4" fillId="7" borderId="20" xfId="2" applyFont="1" applyFill="1" applyBorder="1" applyAlignment="1" applyProtection="1">
      <alignment vertical="center"/>
      <protection hidden="1"/>
    </xf>
    <xf numFmtId="0" fontId="3" fillId="2" borderId="44" xfId="2" applyFont="1" applyFill="1" applyBorder="1" applyAlignment="1" applyProtection="1">
      <alignment horizontal="center" vertical="center"/>
      <protection hidden="1"/>
    </xf>
    <xf numFmtId="0" fontId="11" fillId="7" borderId="4" xfId="2" applyFont="1" applyFill="1" applyBorder="1" applyAlignment="1" applyProtection="1">
      <alignment horizontal="center" vertical="top" wrapText="1"/>
      <protection hidden="1"/>
    </xf>
    <xf numFmtId="0" fontId="12" fillId="7" borderId="14" xfId="2" applyFont="1" applyFill="1" applyBorder="1" applyAlignment="1" applyProtection="1">
      <alignment horizontal="center" vertical="top" wrapText="1"/>
      <protection hidden="1"/>
    </xf>
    <xf numFmtId="0" fontId="13" fillId="7" borderId="14" xfId="2" applyFont="1" applyFill="1" applyBorder="1" applyAlignment="1" applyProtection="1">
      <alignment horizontal="center" vertical="top" wrapText="1"/>
      <protection hidden="1"/>
    </xf>
    <xf numFmtId="0" fontId="14" fillId="7" borderId="23" xfId="2" applyFont="1" applyFill="1" applyBorder="1" applyAlignment="1" applyProtection="1">
      <alignment horizontal="center" vertical="top" wrapText="1"/>
      <protection hidden="1"/>
    </xf>
    <xf numFmtId="4" fontId="4" fillId="0" borderId="0" xfId="0" applyNumberFormat="1" applyFont="1" applyFill="1" applyProtection="1">
      <protection hidden="1"/>
    </xf>
    <xf numFmtId="4" fontId="22" fillId="0" borderId="0" xfId="0" applyNumberFormat="1" applyFont="1" applyFill="1" applyProtection="1">
      <protection hidden="1"/>
    </xf>
    <xf numFmtId="0" fontId="3" fillId="0" borderId="0" xfId="0" applyFont="1" applyBorder="1"/>
    <xf numFmtId="3" fontId="4" fillId="0" borderId="0" xfId="0" applyNumberFormat="1" applyFont="1" applyBorder="1"/>
    <xf numFmtId="4" fontId="4" fillId="0" borderId="0" xfId="0" applyNumberFormat="1" applyFont="1" applyBorder="1"/>
    <xf numFmtId="3" fontId="3" fillId="0" borderId="0" xfId="0" applyNumberFormat="1" applyFont="1" applyBorder="1"/>
    <xf numFmtId="4" fontId="3" fillId="0" borderId="0" xfId="0" applyNumberFormat="1" applyFont="1" applyBorder="1"/>
    <xf numFmtId="4" fontId="3" fillId="0" borderId="0" xfId="0" applyNumberFormat="1" applyFont="1" applyBorder="1" applyAlignment="1" applyProtection="1">
      <alignment vertical="center"/>
    </xf>
    <xf numFmtId="4" fontId="4" fillId="0" borderId="23" xfId="0" applyNumberFormat="1" applyFont="1" applyBorder="1" applyAlignment="1" applyProtection="1">
      <alignment vertical="center"/>
    </xf>
    <xf numFmtId="0" fontId="3" fillId="2" borderId="37" xfId="2" applyFont="1" applyFill="1" applyBorder="1" applyAlignment="1" applyProtection="1">
      <alignment horizontal="left" vertical="center"/>
      <protection locked="0"/>
    </xf>
    <xf numFmtId="0" fontId="3" fillId="2" borderId="45" xfId="2" applyFont="1" applyFill="1" applyBorder="1" applyAlignment="1" applyProtection="1">
      <alignment horizontal="left" vertical="center"/>
      <protection locked="0"/>
    </xf>
    <xf numFmtId="0" fontId="9" fillId="3" borderId="2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37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16" fillId="3" borderId="26" xfId="0" applyFont="1" applyFill="1" applyBorder="1" applyAlignment="1" applyProtection="1">
      <alignment horizontal="left" vertical="center" wrapText="1"/>
    </xf>
    <xf numFmtId="0" fontId="16" fillId="3" borderId="27" xfId="0" applyFont="1" applyFill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3" fillId="3" borderId="15" xfId="0" applyFont="1" applyFill="1" applyBorder="1" applyAlignment="1" applyProtection="1">
      <alignment horizontal="center" vertical="center" wrapText="1"/>
      <protection hidden="1"/>
    </xf>
    <xf numFmtId="0" fontId="3" fillId="3" borderId="17" xfId="0" applyFont="1" applyFill="1" applyBorder="1" applyAlignment="1" applyProtection="1">
      <alignment horizontal="center" vertical="center" wrapText="1"/>
      <protection hidden="1"/>
    </xf>
    <xf numFmtId="4" fontId="3" fillId="3" borderId="15" xfId="0" applyNumberFormat="1" applyFont="1" applyFill="1" applyBorder="1" applyAlignment="1" applyProtection="1">
      <alignment horizontal="center" vertical="center"/>
      <protection hidden="1"/>
    </xf>
    <xf numFmtId="4" fontId="3" fillId="3" borderId="17" xfId="0" applyNumberFormat="1" applyFont="1" applyFill="1" applyBorder="1" applyAlignment="1" applyProtection="1">
      <alignment horizontal="center" vertical="center"/>
      <protection hidden="1"/>
    </xf>
  </cellXfs>
  <cellStyles count="3">
    <cellStyle name="Lien hypertexte" xfId="1" builtinId="8"/>
    <cellStyle name="Normal" xfId="0" builtinId="0"/>
    <cellStyle name="Normal_MANUAAL(JR_PZ)-2002" xfId="2"/>
  </cellStyles>
  <dxfs count="21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CheckBox" fmlaLink="C53" lockText="1"/>
</file>

<file path=xl/ctrlProps/ctrlProp4.xml><?xml version="1.0" encoding="utf-8"?>
<formControlPr xmlns="http://schemas.microsoft.com/office/spreadsheetml/2009/9/main" objectType="CheckBox" fmlaLink="C55" lockText="1"/>
</file>

<file path=xl/ctrlProps/ctrlProp5.xml><?xml version="1.0" encoding="utf-8"?>
<formControlPr xmlns="http://schemas.microsoft.com/office/spreadsheetml/2009/9/main" objectType="CheckBox" fmlaLink="C57" lockText="1"/>
</file>

<file path=xl/ctrlProps/ctrlProp6.xml><?xml version="1.0" encoding="utf-8"?>
<formControlPr xmlns="http://schemas.microsoft.com/office/spreadsheetml/2009/9/main" objectType="CheckBox" fmlaLink="C59" lockText="1"/>
</file>

<file path=xl/ctrlProps/ctrlProp7.xml><?xml version="1.0" encoding="utf-8"?>
<formControlPr xmlns="http://schemas.microsoft.com/office/spreadsheetml/2009/9/main" objectType="CheckBox" fmlaLink="C61" lockText="1"/>
</file>

<file path=xl/ctrlProps/ctrlProp8.xml><?xml version="1.0" encoding="utf-8"?>
<formControlPr xmlns="http://schemas.microsoft.com/office/spreadsheetml/2009/9/main" objectType="CheckBox" fmlaLink="C63" lockText="1"/>
</file>

<file path=xl/ctrlProps/ctrlProp9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1</xdr:col>
          <xdr:colOff>541020</xdr:colOff>
          <xdr:row>2</xdr:row>
          <xdr:rowOff>175260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1</xdr:col>
          <xdr:colOff>541020</xdr:colOff>
          <xdr:row>2</xdr:row>
          <xdr:rowOff>175260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</xdr:row>
          <xdr:rowOff>0</xdr:rowOff>
        </xdr:from>
        <xdr:to>
          <xdr:col>5</xdr:col>
          <xdr:colOff>0</xdr:colOff>
          <xdr:row>6</xdr:row>
          <xdr:rowOff>0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BE" sz="1000" b="1" i="0" u="none" strike="noStrike" baseline="0">
                  <a:solidFill>
                    <a:srgbClr val="FF0000"/>
                  </a:solidFill>
                  <a:latin typeface="Trebuchet MS"/>
                </a:rPr>
                <a:t>DETERMINER LE ZOOM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</xdr:row>
          <xdr:rowOff>0</xdr:rowOff>
        </xdr:from>
        <xdr:to>
          <xdr:col>5</xdr:col>
          <xdr:colOff>0</xdr:colOff>
          <xdr:row>8</xdr:row>
          <xdr:rowOff>0</xdr:rowOff>
        </xdr:to>
        <xdr:sp macro="" textlink="">
          <xdr:nvSpPr>
            <xdr:cNvPr id="7171" name="Button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BE" sz="1000" b="1" i="0" u="none" strike="noStrike" baseline="0">
                  <a:solidFill>
                    <a:srgbClr val="FF0000"/>
                  </a:solidFill>
                  <a:latin typeface="Trebuchet MS"/>
                </a:rPr>
                <a:t>CONFECTION DU RAPPORT</a:t>
              </a:r>
            </a:p>
            <a:p>
              <a:pPr algn="ctr" rtl="0">
                <a:defRPr sz="1000"/>
              </a:pPr>
              <a:endParaRPr lang="fr-BE" sz="1000" b="1" i="0" u="none" strike="noStrike" baseline="0">
                <a:solidFill>
                  <a:srgbClr val="FF0000"/>
                </a:solidFill>
                <a:latin typeface="Trebuchet MS"/>
              </a:endParaRP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52</xdr:row>
          <xdr:rowOff>0</xdr:rowOff>
        </xdr:from>
        <xdr:to>
          <xdr:col>4</xdr:col>
          <xdr:colOff>571500</xdr:colOff>
          <xdr:row>53</xdr:row>
          <xdr:rowOff>38100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Compte rendu avec synthère du budget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54</xdr:row>
          <xdr:rowOff>0</xdr:rowOff>
        </xdr:from>
        <xdr:to>
          <xdr:col>4</xdr:col>
          <xdr:colOff>571500</xdr:colOff>
          <xdr:row>55</xdr:row>
          <xdr:rowOff>38100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L'avis de la commission du budget (Article 11 AR du 05/09/2001)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56</xdr:row>
          <xdr:rowOff>0</xdr:rowOff>
        </xdr:from>
        <xdr:to>
          <xdr:col>4</xdr:col>
          <xdr:colOff>571500</xdr:colOff>
          <xdr:row>57</xdr:row>
          <xdr:rowOff>38100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Tableau avec les données du personnel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58</xdr:row>
          <xdr:rowOff>0</xdr:rowOff>
        </xdr:from>
        <xdr:to>
          <xdr:col>4</xdr:col>
          <xdr:colOff>571500</xdr:colOff>
          <xdr:row>59</xdr:row>
          <xdr:rowOff>38100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Tableau des emprunts et de l'évolution de la dette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60</xdr:row>
          <xdr:rowOff>0</xdr:rowOff>
        </xdr:from>
        <xdr:to>
          <xdr:col>4</xdr:col>
          <xdr:colOff>571500</xdr:colOff>
          <xdr:row>61</xdr:row>
          <xdr:rowOff>38100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Tableau des dépenses extraordianires et des financements prévus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0</xdr:rowOff>
        </xdr:from>
        <xdr:to>
          <xdr:col>4</xdr:col>
          <xdr:colOff>571500</xdr:colOff>
          <xdr:row>63</xdr:row>
          <xdr:rowOff>38100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Certificat d'affichage (Article 34 LPI)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25</xdr:row>
          <xdr:rowOff>0</xdr:rowOff>
        </xdr:from>
        <xdr:to>
          <xdr:col>3</xdr:col>
          <xdr:colOff>0</xdr:colOff>
          <xdr:row>26</xdr:row>
          <xdr:rowOff>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BE" sz="1000" b="1" i="0" u="none" strike="noStrike" baseline="0">
                  <a:solidFill>
                    <a:srgbClr val="FF0000"/>
                  </a:solidFill>
                  <a:latin typeface="Trebuchet MS"/>
                </a:rPr>
                <a:t>Commencer l'intégration des dépenses de personnel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25</xdr:row>
          <xdr:rowOff>0</xdr:rowOff>
        </xdr:from>
        <xdr:to>
          <xdr:col>7</xdr:col>
          <xdr:colOff>0</xdr:colOff>
          <xdr:row>26</xdr:row>
          <xdr:rowOff>0</xdr:rowOff>
        </xdr:to>
        <xdr:sp macro="" textlink="">
          <xdr:nvSpPr>
            <xdr:cNvPr id="4107" name="Button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BE" sz="1000" b="1" i="0" u="none" strike="noStrike" baseline="0">
                  <a:solidFill>
                    <a:srgbClr val="FF0000"/>
                  </a:solidFill>
                  <a:latin typeface="Trebuchet MS"/>
                </a:rPr>
                <a:t>Start inlezen van de personeelsuitgaven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B3:G43"/>
  <sheetViews>
    <sheetView showGridLines="0" workbookViewId="0">
      <selection activeCell="G8" sqref="G8"/>
    </sheetView>
  </sheetViews>
  <sheetFormatPr baseColWidth="10" defaultColWidth="9.109375" defaultRowHeight="14.4" x14ac:dyDescent="0.25"/>
  <cols>
    <col min="1" max="1" width="3.109375" style="11" customWidth="1"/>
    <col min="2" max="2" width="26" style="11" customWidth="1"/>
    <col min="3" max="3" width="0.33203125" style="11" customWidth="1"/>
    <col min="4" max="4" width="32" style="11" customWidth="1"/>
    <col min="5" max="5" width="7.109375" style="11" customWidth="1"/>
    <col min="6" max="6" width="4" style="11" customWidth="1"/>
    <col min="7" max="7" width="14" style="11" customWidth="1"/>
    <col min="8" max="16384" width="9.109375" style="11"/>
  </cols>
  <sheetData>
    <row r="3" spans="2:7" ht="15" thickBot="1" x14ac:dyDescent="0.3"/>
    <row r="4" spans="2:7" ht="20.100000000000001" customHeight="1" x14ac:dyDescent="0.25">
      <c r="B4" s="275" t="s">
        <v>900</v>
      </c>
      <c r="C4" s="12"/>
      <c r="D4" s="155"/>
      <c r="E4" s="276" t="s">
        <v>366</v>
      </c>
      <c r="F4" s="277"/>
      <c r="G4" s="156"/>
    </row>
    <row r="5" spans="2:7" ht="20.100000000000001" customHeight="1" x14ac:dyDescent="0.25">
      <c r="B5" s="278" t="s">
        <v>367</v>
      </c>
      <c r="C5" s="13"/>
      <c r="D5" s="296"/>
      <c r="E5" s="296"/>
      <c r="F5" s="296"/>
      <c r="G5" s="297"/>
    </row>
    <row r="6" spans="2:7" ht="20.100000000000001" customHeight="1" x14ac:dyDescent="0.25">
      <c r="B6" s="278" t="s">
        <v>368</v>
      </c>
      <c r="C6" s="14"/>
      <c r="D6" s="296"/>
      <c r="E6" s="296"/>
      <c r="F6" s="296"/>
      <c r="G6" s="297"/>
    </row>
    <row r="7" spans="2:7" ht="20.100000000000001" customHeight="1" thickBot="1" x14ac:dyDescent="0.3">
      <c r="B7" s="279" t="s">
        <v>369</v>
      </c>
      <c r="C7" s="15"/>
      <c r="D7" s="157"/>
      <c r="E7" s="280" t="s">
        <v>370</v>
      </c>
      <c r="F7" s="281"/>
      <c r="G7" s="282">
        <v>2021</v>
      </c>
    </row>
    <row r="9" spans="2:7" x14ac:dyDescent="0.25">
      <c r="B9" s="16"/>
      <c r="C9" s="17"/>
      <c r="D9" s="17"/>
      <c r="E9" s="17"/>
      <c r="F9" s="17"/>
      <c r="G9" s="18"/>
    </row>
    <row r="10" spans="2:7" x14ac:dyDescent="0.25">
      <c r="B10" s="19"/>
      <c r="C10" s="20"/>
      <c r="D10" s="20"/>
      <c r="E10" s="20"/>
      <c r="F10" s="20"/>
      <c r="G10" s="21"/>
    </row>
    <row r="11" spans="2:7" x14ac:dyDescent="0.25">
      <c r="B11" s="19"/>
      <c r="C11" s="20"/>
      <c r="D11" s="20"/>
      <c r="E11" s="20"/>
      <c r="F11" s="20"/>
      <c r="G11" s="21"/>
    </row>
    <row r="12" spans="2:7" x14ac:dyDescent="0.25">
      <c r="B12" s="19"/>
      <c r="C12" s="20"/>
      <c r="E12" s="20"/>
      <c r="F12" s="20"/>
      <c r="G12" s="21"/>
    </row>
    <row r="13" spans="2:7" x14ac:dyDescent="0.25">
      <c r="B13" s="19"/>
      <c r="C13" s="20"/>
      <c r="E13" s="20"/>
      <c r="F13" s="20"/>
      <c r="G13" s="21"/>
    </row>
    <row r="14" spans="2:7" x14ac:dyDescent="0.25">
      <c r="B14" s="19"/>
      <c r="C14" s="20"/>
      <c r="E14" s="20"/>
      <c r="F14" s="20"/>
      <c r="G14" s="21"/>
    </row>
    <row r="15" spans="2:7" x14ac:dyDescent="0.25">
      <c r="B15" s="19"/>
      <c r="C15" s="20"/>
      <c r="E15" s="20"/>
      <c r="F15" s="20"/>
      <c r="G15" s="21"/>
    </row>
    <row r="16" spans="2:7" x14ac:dyDescent="0.25">
      <c r="B16" s="19"/>
      <c r="C16" s="20"/>
      <c r="D16" s="20"/>
      <c r="E16" s="20"/>
      <c r="F16" s="20"/>
      <c r="G16" s="21"/>
    </row>
    <row r="17" spans="2:7" x14ac:dyDescent="0.25">
      <c r="B17" s="19"/>
      <c r="C17" s="20"/>
      <c r="D17" s="20"/>
      <c r="E17" s="20"/>
      <c r="F17" s="20"/>
      <c r="G17" s="21"/>
    </row>
    <row r="18" spans="2:7" x14ac:dyDescent="0.25">
      <c r="B18" s="19"/>
      <c r="C18" s="20"/>
      <c r="D18" s="20"/>
      <c r="E18" s="20"/>
      <c r="F18" s="20"/>
      <c r="G18" s="21"/>
    </row>
    <row r="19" spans="2:7" x14ac:dyDescent="0.25">
      <c r="B19" s="19"/>
      <c r="C19" s="20"/>
      <c r="D19" s="20"/>
      <c r="E19" s="20"/>
      <c r="F19" s="20"/>
      <c r="G19" s="21"/>
    </row>
    <row r="20" spans="2:7" ht="26.4" x14ac:dyDescent="0.25">
      <c r="B20" s="19"/>
      <c r="C20" s="20"/>
      <c r="D20" s="283" t="s">
        <v>92</v>
      </c>
      <c r="E20" s="20"/>
      <c r="F20" s="20"/>
      <c r="G20" s="21"/>
    </row>
    <row r="21" spans="2:7" ht="39.6" x14ac:dyDescent="0.25">
      <c r="B21" s="19"/>
      <c r="C21" s="20"/>
      <c r="D21" s="284" t="s">
        <v>93</v>
      </c>
      <c r="E21" s="20"/>
      <c r="F21" s="20"/>
      <c r="G21" s="21"/>
    </row>
    <row r="22" spans="2:7" ht="39.75" customHeight="1" x14ac:dyDescent="0.25">
      <c r="B22" s="19"/>
      <c r="C22" s="20"/>
      <c r="D22" s="285" t="s">
        <v>94</v>
      </c>
      <c r="E22" s="20"/>
      <c r="F22" s="20"/>
      <c r="G22" s="21"/>
    </row>
    <row r="23" spans="2:7" x14ac:dyDescent="0.25">
      <c r="B23" s="19"/>
      <c r="C23" s="20"/>
      <c r="D23" s="286"/>
      <c r="E23" s="20"/>
      <c r="F23" s="20"/>
      <c r="G23" s="21"/>
    </row>
    <row r="24" spans="2:7" x14ac:dyDescent="0.25">
      <c r="B24" s="19"/>
      <c r="C24" s="20"/>
      <c r="D24" s="20"/>
      <c r="E24" s="20"/>
      <c r="F24" s="20"/>
      <c r="G24" s="21"/>
    </row>
    <row r="25" spans="2:7" x14ac:dyDescent="0.25">
      <c r="B25" s="19"/>
      <c r="C25" s="20"/>
      <c r="D25" s="20"/>
      <c r="E25" s="20"/>
      <c r="F25" s="20"/>
      <c r="G25" s="21"/>
    </row>
    <row r="26" spans="2:7" ht="22.2" x14ac:dyDescent="0.25">
      <c r="B26" s="269" t="s">
        <v>901</v>
      </c>
      <c r="C26" s="23"/>
      <c r="D26" s="23"/>
      <c r="E26" s="23"/>
      <c r="F26" s="23"/>
      <c r="G26" s="24"/>
    </row>
    <row r="27" spans="2:7" ht="16.2" x14ac:dyDescent="0.25">
      <c r="B27" s="22"/>
      <c r="C27" s="23"/>
      <c r="D27" s="23"/>
      <c r="E27" s="23"/>
      <c r="F27" s="23"/>
      <c r="G27" s="24"/>
    </row>
    <row r="28" spans="2:7" x14ac:dyDescent="0.25">
      <c r="B28" s="19"/>
      <c r="C28" s="20"/>
      <c r="D28" s="20"/>
      <c r="E28" s="20"/>
      <c r="F28" s="20"/>
      <c r="G28" s="21"/>
    </row>
    <row r="29" spans="2:7" x14ac:dyDescent="0.25">
      <c r="B29" s="19"/>
      <c r="C29" s="20"/>
      <c r="D29" s="20"/>
      <c r="E29" s="20"/>
      <c r="F29" s="20"/>
      <c r="G29" s="21"/>
    </row>
    <row r="30" spans="2:7" x14ac:dyDescent="0.25">
      <c r="B30" s="19"/>
      <c r="C30" s="20"/>
      <c r="D30" s="20"/>
      <c r="E30" s="20"/>
      <c r="F30" s="20"/>
      <c r="G30" s="21"/>
    </row>
    <row r="31" spans="2:7" x14ac:dyDescent="0.25">
      <c r="B31" s="19"/>
      <c r="C31" s="20"/>
      <c r="D31" s="20"/>
      <c r="E31" s="20"/>
      <c r="F31" s="20"/>
      <c r="G31" s="21"/>
    </row>
    <row r="32" spans="2:7" x14ac:dyDescent="0.25">
      <c r="B32" s="19"/>
      <c r="C32" s="20"/>
      <c r="D32" s="20"/>
      <c r="E32" s="20"/>
      <c r="F32" s="20"/>
      <c r="G32" s="21"/>
    </row>
    <row r="33" spans="2:7" x14ac:dyDescent="0.25">
      <c r="B33" s="19"/>
      <c r="C33" s="20"/>
      <c r="D33" s="20"/>
      <c r="E33" s="20"/>
      <c r="F33" s="20"/>
      <c r="G33" s="21"/>
    </row>
    <row r="34" spans="2:7" x14ac:dyDescent="0.25">
      <c r="B34" s="19"/>
      <c r="C34" s="20"/>
      <c r="D34" s="20"/>
      <c r="E34" s="20"/>
      <c r="F34" s="20"/>
      <c r="G34" s="21"/>
    </row>
    <row r="35" spans="2:7" x14ac:dyDescent="0.25">
      <c r="B35" s="19"/>
      <c r="C35" s="20"/>
      <c r="D35" s="20"/>
      <c r="E35" s="20"/>
      <c r="F35" s="20"/>
      <c r="G35" s="21"/>
    </row>
    <row r="36" spans="2:7" x14ac:dyDescent="0.25">
      <c r="B36" s="19"/>
      <c r="C36" s="20"/>
      <c r="D36" s="20"/>
      <c r="E36" s="20"/>
      <c r="F36" s="20"/>
      <c r="G36" s="21"/>
    </row>
    <row r="37" spans="2:7" x14ac:dyDescent="0.25">
      <c r="B37" s="19"/>
      <c r="C37" s="20"/>
      <c r="D37" s="20"/>
      <c r="E37" s="20"/>
      <c r="F37" s="20"/>
      <c r="G37" s="21"/>
    </row>
    <row r="38" spans="2:7" x14ac:dyDescent="0.25">
      <c r="B38" s="19"/>
      <c r="C38" s="20"/>
      <c r="D38" s="20"/>
      <c r="E38" s="20"/>
      <c r="F38" s="20"/>
      <c r="G38" s="21"/>
    </row>
    <row r="39" spans="2:7" x14ac:dyDescent="0.25">
      <c r="B39" s="19"/>
      <c r="C39" s="20"/>
      <c r="D39" s="20"/>
      <c r="E39" s="20"/>
      <c r="F39" s="20"/>
      <c r="G39" s="21"/>
    </row>
    <row r="40" spans="2:7" x14ac:dyDescent="0.25">
      <c r="B40" s="19"/>
      <c r="C40" s="20"/>
      <c r="D40" s="20"/>
      <c r="E40" s="20"/>
      <c r="F40" s="20"/>
      <c r="G40" s="21"/>
    </row>
    <row r="41" spans="2:7" x14ac:dyDescent="0.25">
      <c r="B41" s="19"/>
      <c r="C41" s="20"/>
      <c r="D41" s="20"/>
      <c r="E41" s="20"/>
      <c r="F41" s="20"/>
      <c r="G41" s="21"/>
    </row>
    <row r="42" spans="2:7" x14ac:dyDescent="0.25">
      <c r="B42" s="19"/>
      <c r="C42" s="20"/>
      <c r="D42" s="20"/>
      <c r="E42" s="20"/>
      <c r="F42" s="20"/>
      <c r="G42" s="21"/>
    </row>
    <row r="43" spans="2:7" x14ac:dyDescent="0.25">
      <c r="B43" s="13"/>
      <c r="C43" s="25"/>
      <c r="D43" s="25"/>
      <c r="E43" s="25"/>
      <c r="F43" s="25"/>
      <c r="G43" s="26"/>
    </row>
  </sheetData>
  <mergeCells count="2">
    <mergeCell ref="D5:G5"/>
    <mergeCell ref="D6:G6"/>
  </mergeCells>
  <phoneticPr fontId="0" type="noConversion"/>
  <pageMargins left="0.75" right="0.75" top="0.72" bottom="0.41" header="0.34" footer="0.24"/>
  <pageSetup paperSize="9" orientation="portrait" r:id="rId1"/>
  <headerFooter alignWithMargins="0">
    <oddFooter>&amp;R&amp;"Arial,Cursief"&amp;8 12/2003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1</xdr:col>
                <xdr:colOff>38100</xdr:colOff>
                <xdr:row>0</xdr:row>
                <xdr:rowOff>0</xdr:rowOff>
              </from>
              <to>
                <xdr:col>1</xdr:col>
                <xdr:colOff>541020</xdr:colOff>
                <xdr:row>2</xdr:row>
                <xdr:rowOff>175260</xdr:rowOff>
              </to>
            </anchor>
          </objectPr>
        </oleObject>
      </mc:Choice>
      <mc:Fallback>
        <oleObject progId="Word.Picture.8" shapeId="2049" r:id="rId4"/>
      </mc:Fallback>
    </mc:AlternateContent>
    <mc:AlternateContent xmlns:mc="http://schemas.openxmlformats.org/markup-compatibility/2006">
      <mc:Choice Requires="x14">
        <oleObject progId="Word.Picture.8" shapeId="2051" r:id="rId6">
          <objectPr defaultSize="0" autoPict="0" r:id="rId5">
            <anchor moveWithCells="1" sizeWithCells="1">
              <from>
                <xdr:col>1</xdr:col>
                <xdr:colOff>38100</xdr:colOff>
                <xdr:row>0</xdr:row>
                <xdr:rowOff>0</xdr:rowOff>
              </from>
              <to>
                <xdr:col>1</xdr:col>
                <xdr:colOff>541020</xdr:colOff>
                <xdr:row>2</xdr:row>
                <xdr:rowOff>175260</xdr:rowOff>
              </to>
            </anchor>
          </objectPr>
        </oleObject>
      </mc:Choice>
      <mc:Fallback>
        <oleObject progId="Word.Picture.8" shapeId="2051" r:id="rId6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/>
  <dimension ref="A1:K6"/>
  <sheetViews>
    <sheetView showGridLines="0" zoomScale="85" workbookViewId="0">
      <selection activeCell="F14" sqref="F14:L48"/>
    </sheetView>
  </sheetViews>
  <sheetFormatPr baseColWidth="10" defaultColWidth="9.109375" defaultRowHeight="14.4" x14ac:dyDescent="0.35"/>
  <cols>
    <col min="1" max="1" width="4.88671875" style="2" customWidth="1"/>
    <col min="2" max="2" width="22.33203125" style="2" customWidth="1"/>
    <col min="3" max="3" width="9.109375" style="2" customWidth="1"/>
    <col min="4" max="4" width="17.6640625" style="2" customWidth="1"/>
    <col min="5" max="10" width="9.109375" style="2" customWidth="1"/>
    <col min="11" max="11" width="2.109375" style="2" hidden="1" customWidth="1"/>
    <col min="12" max="16384" width="9.109375" style="2"/>
  </cols>
  <sheetData>
    <row r="1" spans="1:11" ht="15" thickBot="1" x14ac:dyDescent="0.4">
      <c r="A1" s="109" t="s">
        <v>572</v>
      </c>
      <c r="B1" s="110"/>
      <c r="C1" s="110"/>
      <c r="D1" s="111"/>
      <c r="E1" s="82"/>
      <c r="F1" s="82"/>
      <c r="G1" s="82"/>
    </row>
    <row r="2" spans="1:11" ht="15" thickBot="1" x14ac:dyDescent="0.4"/>
    <row r="3" spans="1:11" ht="15" thickBot="1" x14ac:dyDescent="0.4">
      <c r="B3" s="135" t="s">
        <v>417</v>
      </c>
      <c r="C3" s="136" t="s">
        <v>440</v>
      </c>
      <c r="D3" s="137" t="s">
        <v>370</v>
      </c>
    </row>
    <row r="4" spans="1:11" x14ac:dyDescent="0.35">
      <c r="B4" s="99" t="s">
        <v>441</v>
      </c>
      <c r="C4" s="134" t="s">
        <v>728</v>
      </c>
      <c r="D4" s="131">
        <f>SUMIF(Recettes!P5:P504,"264",Recettes!N5:N504)</f>
        <v>0</v>
      </c>
    </row>
    <row r="5" spans="1:11" x14ac:dyDescent="0.35">
      <c r="B5" s="85" t="s">
        <v>442</v>
      </c>
      <c r="C5" s="132" t="s">
        <v>729</v>
      </c>
      <c r="D5" s="95">
        <f>SUMIF(Dépenses!C5:C504,"12810",Dépenses!N5:N504)</f>
        <v>0</v>
      </c>
    </row>
    <row r="6" spans="1:11" x14ac:dyDescent="0.35">
      <c r="B6" s="89" t="s">
        <v>443</v>
      </c>
      <c r="D6" s="133">
        <f>IF(D4=0,15%,D5/D4)</f>
        <v>0.15</v>
      </c>
      <c r="K6" s="2">
        <f>IF(OR(D6&lt;14%,D6&gt;16%),1,0)</f>
        <v>0</v>
      </c>
    </row>
  </sheetData>
  <sheetProtection password="A679" sheet="1" objects="1" scenarios="1"/>
  <phoneticPr fontId="0" type="noConversion"/>
  <conditionalFormatting sqref="D6">
    <cfRule type="cellIs" dxfId="13" priority="1" stopIfTrue="1" operator="notBetween">
      <formula>0.14</formula>
      <formula>0.16</formula>
    </cfRule>
  </conditionalFormatting>
  <pageMargins left="0.75" right="0.75" top="1" bottom="1" header="0.5" footer="0.5"/>
  <pageSetup paperSize="9" orientation="portrait" horizontalDpi="300" verticalDpi="300" r:id="rId1"/>
  <headerFooter alignWithMargins="0"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/>
  <dimension ref="A1:K50"/>
  <sheetViews>
    <sheetView showGridLines="0" topLeftCell="A9" zoomScale="85" workbookViewId="0">
      <selection activeCell="F14" sqref="F14:L48"/>
    </sheetView>
  </sheetViews>
  <sheetFormatPr baseColWidth="10" defaultColWidth="9.109375" defaultRowHeight="14.4" x14ac:dyDescent="0.35"/>
  <cols>
    <col min="1" max="1" width="4.109375" style="4" customWidth="1"/>
    <col min="2" max="2" width="9" style="4" customWidth="1"/>
    <col min="3" max="3" width="58" style="4" customWidth="1"/>
    <col min="4" max="6" width="17.6640625" style="4" customWidth="1"/>
    <col min="7" max="10" width="9.109375" style="4" customWidth="1"/>
    <col min="11" max="11" width="2.109375" style="4" hidden="1" customWidth="1"/>
    <col min="12" max="16384" width="9.109375" style="4"/>
  </cols>
  <sheetData>
    <row r="1" spans="1:6" ht="15" thickBot="1" x14ac:dyDescent="0.4">
      <c r="A1" s="208" t="s">
        <v>573</v>
      </c>
      <c r="B1" s="107"/>
      <c r="C1" s="108"/>
      <c r="D1" s="46"/>
      <c r="E1" s="46"/>
      <c r="F1" s="46"/>
    </row>
    <row r="2" spans="1:6" ht="15" thickBot="1" x14ac:dyDescent="0.4"/>
    <row r="3" spans="1:6" ht="15" thickBot="1" x14ac:dyDescent="0.4">
      <c r="B3" s="208" t="s">
        <v>574</v>
      </c>
      <c r="C3" s="217"/>
    </row>
    <row r="4" spans="1:6" ht="15" thickBot="1" x14ac:dyDescent="0.4">
      <c r="C4" s="115" t="s">
        <v>444</v>
      </c>
      <c r="D4" s="218" t="s">
        <v>445</v>
      </c>
      <c r="E4" s="219" t="s">
        <v>446</v>
      </c>
    </row>
    <row r="5" spans="1:6" x14ac:dyDescent="0.35">
      <c r="C5" s="118" t="s">
        <v>447</v>
      </c>
      <c r="D5" s="241">
        <v>0</v>
      </c>
      <c r="E5" s="241">
        <v>0</v>
      </c>
    </row>
    <row r="6" spans="1:6" x14ac:dyDescent="0.35">
      <c r="C6" s="112" t="s">
        <v>448</v>
      </c>
      <c r="D6" s="242">
        <v>0</v>
      </c>
      <c r="E6" s="242">
        <v>0</v>
      </c>
    </row>
    <row r="7" spans="1:6" x14ac:dyDescent="0.35">
      <c r="C7" s="112" t="s">
        <v>327</v>
      </c>
      <c r="D7" s="242">
        <v>0</v>
      </c>
      <c r="E7" s="242">
        <v>0</v>
      </c>
    </row>
    <row r="8" spans="1:6" x14ac:dyDescent="0.35">
      <c r="C8" s="112" t="s">
        <v>328</v>
      </c>
      <c r="D8" s="242">
        <v>0</v>
      </c>
      <c r="E8" s="242">
        <v>0</v>
      </c>
    </row>
    <row r="9" spans="1:6" x14ac:dyDescent="0.35">
      <c r="C9" s="112" t="s">
        <v>329</v>
      </c>
      <c r="D9" s="242">
        <v>0</v>
      </c>
      <c r="E9" s="242">
        <v>0</v>
      </c>
    </row>
    <row r="10" spans="1:6" ht="15" thickBot="1" x14ac:dyDescent="0.4"/>
    <row r="11" spans="1:6" ht="15" thickBot="1" x14ac:dyDescent="0.4">
      <c r="B11" s="208" t="s">
        <v>575</v>
      </c>
      <c r="C11" s="108"/>
    </row>
    <row r="12" spans="1:6" ht="15" thickBot="1" x14ac:dyDescent="0.4"/>
    <row r="13" spans="1:6" ht="15.6" thickBot="1" x14ac:dyDescent="0.4">
      <c r="A13" s="220" t="s">
        <v>732</v>
      </c>
      <c r="B13" s="221" t="s">
        <v>576</v>
      </c>
      <c r="C13" s="222"/>
      <c r="D13" s="222"/>
      <c r="E13" s="223"/>
    </row>
    <row r="14" spans="1:6" x14ac:dyDescent="0.35">
      <c r="B14" s="224" t="s">
        <v>449</v>
      </c>
      <c r="C14" s="75"/>
      <c r="D14" s="75"/>
      <c r="E14" s="225"/>
    </row>
    <row r="15" spans="1:6" x14ac:dyDescent="0.35">
      <c r="B15" s="224" t="s">
        <v>450</v>
      </c>
      <c r="C15" s="75"/>
      <c r="D15" s="75"/>
      <c r="E15" s="225"/>
    </row>
    <row r="16" spans="1:6" x14ac:dyDescent="0.35">
      <c r="B16" s="224"/>
      <c r="C16" s="75"/>
      <c r="D16" s="75"/>
      <c r="E16" s="225"/>
    </row>
    <row r="17" spans="2:11" x14ac:dyDescent="0.35">
      <c r="B17" s="224" t="s">
        <v>451</v>
      </c>
      <c r="C17" s="75"/>
      <c r="D17" s="75"/>
      <c r="E17" s="225"/>
    </row>
    <row r="18" spans="2:11" x14ac:dyDescent="0.35">
      <c r="B18" s="226" t="s">
        <v>452</v>
      </c>
      <c r="C18" s="75"/>
      <c r="D18" s="75"/>
      <c r="E18" s="225"/>
    </row>
    <row r="19" spans="2:11" x14ac:dyDescent="0.35">
      <c r="B19" s="224" t="s">
        <v>453</v>
      </c>
      <c r="C19" s="75"/>
      <c r="D19" s="75"/>
      <c r="E19" s="225"/>
    </row>
    <row r="20" spans="2:11" x14ac:dyDescent="0.35">
      <c r="B20" s="226" t="s">
        <v>454</v>
      </c>
      <c r="C20" s="75"/>
      <c r="D20" s="75"/>
      <c r="E20" s="225"/>
    </row>
    <row r="21" spans="2:11" x14ac:dyDescent="0.35">
      <c r="B21" s="224" t="s">
        <v>577</v>
      </c>
      <c r="C21" s="75"/>
      <c r="D21" s="75"/>
      <c r="E21" s="225"/>
    </row>
    <row r="22" spans="2:11" x14ac:dyDescent="0.35">
      <c r="B22" s="224" t="s">
        <v>330</v>
      </c>
      <c r="C22" s="75"/>
      <c r="D22" s="75"/>
      <c r="E22" s="225"/>
    </row>
    <row r="23" spans="2:11" x14ac:dyDescent="0.35">
      <c r="B23" s="224" t="s">
        <v>455</v>
      </c>
      <c r="C23" s="75"/>
      <c r="D23" s="75"/>
      <c r="E23" s="225"/>
    </row>
    <row r="24" spans="2:11" ht="15" thickBot="1" x14ac:dyDescent="0.4">
      <c r="B24" s="227" t="s">
        <v>456</v>
      </c>
      <c r="C24" s="46"/>
      <c r="D24" s="46"/>
      <c r="E24" s="228"/>
    </row>
    <row r="25" spans="2:11" ht="15" thickBot="1" x14ac:dyDescent="0.4"/>
    <row r="26" spans="2:11" ht="15.75" customHeight="1" thickBot="1" x14ac:dyDescent="0.4">
      <c r="B26" s="229"/>
      <c r="C26" s="230"/>
      <c r="D26" s="309" t="s">
        <v>458</v>
      </c>
      <c r="E26" s="309" t="s">
        <v>459</v>
      </c>
      <c r="F26" s="311" t="s">
        <v>460</v>
      </c>
    </row>
    <row r="27" spans="2:11" ht="28.5" customHeight="1" thickBot="1" x14ac:dyDescent="0.4">
      <c r="B27" s="231" t="s">
        <v>440</v>
      </c>
      <c r="C27" s="232" t="s">
        <v>457</v>
      </c>
      <c r="D27" s="310"/>
      <c r="E27" s="310"/>
      <c r="F27" s="312"/>
    </row>
    <row r="28" spans="2:11" x14ac:dyDescent="0.35">
      <c r="B28" s="139">
        <v>11101</v>
      </c>
      <c r="C28" s="271" t="s">
        <v>461</v>
      </c>
      <c r="D28" s="172"/>
      <c r="E28" s="233">
        <f>SUMIF(Dépenses!$C$5:$C$504,B28,Dépenses!$N$5:$N$504)</f>
        <v>0</v>
      </c>
      <c r="F28" s="233">
        <f t="shared" ref="F28:F39" si="0">ROUND(D28-E28,2)</f>
        <v>0</v>
      </c>
      <c r="K28" s="4">
        <f t="shared" ref="K28:K39" si="1">IF(F28&lt;&gt;0,1,0)</f>
        <v>0</v>
      </c>
    </row>
    <row r="29" spans="2:11" x14ac:dyDescent="0.35">
      <c r="B29" s="138">
        <v>11102</v>
      </c>
      <c r="C29" s="85" t="s">
        <v>462</v>
      </c>
      <c r="D29" s="216"/>
      <c r="E29" s="234">
        <f>SUMIF(Dépenses!$C$5:$C$504,B29,Dépenses!$N$5:$N$504)</f>
        <v>0</v>
      </c>
      <c r="F29" s="234">
        <f t="shared" si="0"/>
        <v>0</v>
      </c>
      <c r="K29" s="4">
        <f t="shared" si="1"/>
        <v>0</v>
      </c>
    </row>
    <row r="30" spans="2:11" x14ac:dyDescent="0.35">
      <c r="B30" s="138">
        <v>11108</v>
      </c>
      <c r="C30" s="85" t="s">
        <v>463</v>
      </c>
      <c r="D30" s="216"/>
      <c r="E30" s="234">
        <f>SUMIF(Dépenses!$C$5:$C$504,B30,Dépenses!$N$5:$N$504)</f>
        <v>0</v>
      </c>
      <c r="F30" s="234">
        <f t="shared" si="0"/>
        <v>0</v>
      </c>
      <c r="K30" s="4">
        <f t="shared" si="1"/>
        <v>0</v>
      </c>
    </row>
    <row r="31" spans="2:11" x14ac:dyDescent="0.35">
      <c r="B31" s="138">
        <v>11109</v>
      </c>
      <c r="C31" s="85" t="s">
        <v>464</v>
      </c>
      <c r="D31" s="216"/>
      <c r="E31" s="234">
        <f>SUMIF(Dépenses!$C$5:$C$504,B31,Dépenses!$N$5:$N$504)</f>
        <v>0</v>
      </c>
      <c r="F31" s="234">
        <f t="shared" si="0"/>
        <v>0</v>
      </c>
      <c r="K31" s="4">
        <f t="shared" si="1"/>
        <v>0</v>
      </c>
    </row>
    <row r="32" spans="2:11" x14ac:dyDescent="0.35">
      <c r="B32" s="138">
        <v>11201</v>
      </c>
      <c r="C32" s="85" t="s">
        <v>465</v>
      </c>
      <c r="D32" s="216"/>
      <c r="E32" s="234">
        <f>SUMIF(Dépenses!$C$5:$C$504,B32,Dépenses!$N$5:$N$504)</f>
        <v>0</v>
      </c>
      <c r="F32" s="234">
        <f t="shared" si="0"/>
        <v>0</v>
      </c>
      <c r="K32" s="4">
        <f t="shared" si="1"/>
        <v>0</v>
      </c>
    </row>
    <row r="33" spans="2:11" x14ac:dyDescent="0.35">
      <c r="B33" s="138">
        <v>11202</v>
      </c>
      <c r="C33" s="85" t="s">
        <v>466</v>
      </c>
      <c r="D33" s="216"/>
      <c r="E33" s="234">
        <f>SUMIF(Dépenses!$C$5:$C$504,B33,Dépenses!$N$5:$N$504)</f>
        <v>0</v>
      </c>
      <c r="F33" s="234">
        <f t="shared" si="0"/>
        <v>0</v>
      </c>
      <c r="K33" s="4">
        <f t="shared" si="1"/>
        <v>0</v>
      </c>
    </row>
    <row r="34" spans="2:11" x14ac:dyDescent="0.35">
      <c r="B34" s="138">
        <v>11301</v>
      </c>
      <c r="C34" s="85" t="s">
        <v>467</v>
      </c>
      <c r="D34" s="216"/>
      <c r="E34" s="234">
        <f>SUMIF(Dépenses!$C$5:$C$504,B34,Dépenses!$N$5:$N$504)</f>
        <v>0</v>
      </c>
      <c r="F34" s="234">
        <f t="shared" si="0"/>
        <v>0</v>
      </c>
      <c r="K34" s="4">
        <f t="shared" si="1"/>
        <v>0</v>
      </c>
    </row>
    <row r="35" spans="2:11" x14ac:dyDescent="0.35">
      <c r="B35" s="138">
        <v>11302</v>
      </c>
      <c r="C35" s="85" t="s">
        <v>468</v>
      </c>
      <c r="D35" s="216"/>
      <c r="E35" s="234">
        <f>SUMIF(Dépenses!$C$5:$C$504,B35,Dépenses!$N$5:$N$504)</f>
        <v>0</v>
      </c>
      <c r="F35" s="234">
        <f t="shared" si="0"/>
        <v>0</v>
      </c>
      <c r="K35" s="4">
        <f t="shared" si="1"/>
        <v>0</v>
      </c>
    </row>
    <row r="36" spans="2:11" x14ac:dyDescent="0.35">
      <c r="B36" s="138">
        <v>11701</v>
      </c>
      <c r="C36" s="85" t="s">
        <v>469</v>
      </c>
      <c r="D36" s="216"/>
      <c r="E36" s="234">
        <f>SUMIF(Dépenses!$C$5:$C$504,B36,Dépenses!$N$5:$N$504)</f>
        <v>0</v>
      </c>
      <c r="F36" s="234">
        <f t="shared" si="0"/>
        <v>0</v>
      </c>
      <c r="K36" s="4">
        <f t="shared" si="1"/>
        <v>0</v>
      </c>
    </row>
    <row r="37" spans="2:11" x14ac:dyDescent="0.35">
      <c r="B37" s="138">
        <v>11801</v>
      </c>
      <c r="C37" s="85" t="s">
        <v>470</v>
      </c>
      <c r="D37" s="216"/>
      <c r="E37" s="234">
        <f>SUMIF(Dépenses!$C$5:$C$504,B37,Dépenses!$N$5:$N$504)</f>
        <v>0</v>
      </c>
      <c r="F37" s="234">
        <f t="shared" si="0"/>
        <v>0</v>
      </c>
      <c r="K37" s="4">
        <f t="shared" si="1"/>
        <v>0</v>
      </c>
    </row>
    <row r="38" spans="2:11" x14ac:dyDescent="0.35">
      <c r="B38" s="138">
        <v>12103</v>
      </c>
      <c r="C38" s="85" t="s">
        <v>471</v>
      </c>
      <c r="D38" s="216"/>
      <c r="E38" s="234">
        <f>SUMIF(Dépenses!$C$5:$C$504,B38,Dépenses!$N$5:$N$504)</f>
        <v>0</v>
      </c>
      <c r="F38" s="234">
        <f t="shared" si="0"/>
        <v>0</v>
      </c>
      <c r="K38" s="4">
        <f t="shared" si="1"/>
        <v>0</v>
      </c>
    </row>
    <row r="39" spans="2:11" x14ac:dyDescent="0.35">
      <c r="B39" s="138">
        <v>12148</v>
      </c>
      <c r="C39" s="85" t="s">
        <v>472</v>
      </c>
      <c r="D39" s="216"/>
      <c r="E39" s="234">
        <f>SUMIF(Dépenses!$C$5:$C$504,B39,Dépenses!$N$5:$N$504)</f>
        <v>0</v>
      </c>
      <c r="F39" s="234">
        <f t="shared" si="0"/>
        <v>0</v>
      </c>
      <c r="K39" s="4">
        <f t="shared" si="1"/>
        <v>0</v>
      </c>
    </row>
    <row r="41" spans="2:11" x14ac:dyDescent="0.35">
      <c r="C41" s="112" t="s">
        <v>473</v>
      </c>
      <c r="D41" s="216" t="s">
        <v>331</v>
      </c>
    </row>
    <row r="42" spans="2:11" ht="15" thickBot="1" x14ac:dyDescent="0.4"/>
    <row r="43" spans="2:11" ht="15" thickBot="1" x14ac:dyDescent="0.4">
      <c r="B43" s="208" t="s">
        <v>474</v>
      </c>
      <c r="C43" s="108"/>
    </row>
    <row r="44" spans="2:11" ht="15" thickBot="1" x14ac:dyDescent="0.4"/>
    <row r="45" spans="2:11" ht="15" thickBot="1" x14ac:dyDescent="0.4">
      <c r="E45" s="43">
        <f>WerkUitg!E69</f>
        <v>2021</v>
      </c>
    </row>
    <row r="46" spans="2:11" x14ac:dyDescent="0.35">
      <c r="C46" s="235" t="s">
        <v>475</v>
      </c>
      <c r="D46" s="71"/>
      <c r="E46" s="233">
        <f>SUMIF(Dépenses!E5:E504,70,Dépenses!N5:N504)</f>
        <v>0</v>
      </c>
    </row>
    <row r="47" spans="2:11" x14ac:dyDescent="0.35">
      <c r="C47" s="236" t="s">
        <v>476</v>
      </c>
      <c r="D47" s="79"/>
      <c r="E47" s="237" t="str">
        <f>IF(SUM(E5:E9)=0,"Pas de données",SUM(E5:E9))</f>
        <v>Pas de données</v>
      </c>
    </row>
    <row r="48" spans="2:11" x14ac:dyDescent="0.35">
      <c r="C48" s="74" t="s">
        <v>477</v>
      </c>
      <c r="D48" s="238"/>
      <c r="E48" s="239" t="str">
        <f>IF(E47="Pas de données","",E46/E47)</f>
        <v/>
      </c>
    </row>
    <row r="49" spans="3:11" x14ac:dyDescent="0.35">
      <c r="C49" s="236" t="s">
        <v>478</v>
      </c>
      <c r="D49" s="80"/>
      <c r="E49" s="216">
        <v>60000</v>
      </c>
    </row>
    <row r="50" spans="3:11" x14ac:dyDescent="0.35">
      <c r="C50" s="78" t="s">
        <v>527</v>
      </c>
      <c r="D50" s="240"/>
      <c r="E50" s="5" t="str">
        <f>IF(E48="","",IF(E48&gt;E49,"Trop élevé",""))</f>
        <v/>
      </c>
      <c r="K50" s="4">
        <f>IF(E50="Te hoog",1,0)</f>
        <v>0</v>
      </c>
    </row>
  </sheetData>
  <mergeCells count="3">
    <mergeCell ref="D26:D27"/>
    <mergeCell ref="E26:E27"/>
    <mergeCell ref="F26:F27"/>
  </mergeCells>
  <phoneticPr fontId="0" type="noConversion"/>
  <conditionalFormatting sqref="F28:F39">
    <cfRule type="cellIs" dxfId="12" priority="1" stopIfTrue="1" operator="notBetween">
      <formula>-1</formula>
      <formula>1</formula>
    </cfRule>
  </conditionalFormatting>
  <conditionalFormatting sqref="E50">
    <cfRule type="cellIs" dxfId="11" priority="2" stopIfTrue="1" operator="equal">
      <formula>"Trop élevé"</formula>
    </cfRule>
  </conditionalFormatting>
  <dataValidations xWindow="666" yWindow="222" count="1">
    <dataValidation type="list" allowBlank="1" showInputMessage="1" showErrorMessage="1" errorTitle="Bovengrens" error="Kies uit de lijst." promptTitle="LIMITE SUPERIEUR" prompt="Encoder la limite supérieure" sqref="E49">
      <formula1>BezGrens</formula1>
    </dataValidation>
  </dataValidations>
  <pageMargins left="0.75" right="0.75" top="0.92" bottom="0.72" header="0.32" footer="0.5"/>
  <pageSetup paperSize="9" orientation="landscape" horizontalDpi="300" verticalDpi="300" r:id="rId1"/>
  <headerFooter alignWithMargins="0">
    <oddFooter>&amp;R&amp;A</oddFooter>
  </headerFooter>
  <rowBreaks count="1" manualBreakCount="1">
    <brk id="2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InlPers">
                <anchor moveWithCells="1" sizeWithCells="1">
                  <from>
                    <xdr:col>2</xdr:col>
                    <xdr:colOff>0</xdr:colOff>
                    <xdr:row>25</xdr:row>
                    <xdr:rowOff>0</xdr:rowOff>
                  </from>
                  <to>
                    <xdr:col>3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5" name="Button 11">
              <controlPr defaultSize="0" print="0" autoFill="0" autoPict="0" macro="[0]!InlPers">
                <anchor moveWithCells="1" sizeWithCells="1">
                  <from>
                    <xdr:col>7</xdr:col>
                    <xdr:colOff>0</xdr:colOff>
                    <xdr:row>25</xdr:row>
                    <xdr:rowOff>0</xdr:rowOff>
                  </from>
                  <to>
                    <xdr:col>7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K78"/>
  <sheetViews>
    <sheetView showGridLines="0" zoomScale="85" workbookViewId="0">
      <selection activeCell="F14" sqref="F14:L48"/>
    </sheetView>
  </sheetViews>
  <sheetFormatPr baseColWidth="10" defaultColWidth="9.109375" defaultRowHeight="14.4" x14ac:dyDescent="0.35"/>
  <cols>
    <col min="1" max="1" width="3.88671875" style="4" customWidth="1"/>
    <col min="2" max="2" width="11.6640625" style="4" customWidth="1"/>
    <col min="3" max="3" width="57.44140625" style="4" customWidth="1"/>
    <col min="4" max="6" width="17.6640625" style="4" customWidth="1"/>
    <col min="7" max="7" width="11.6640625" style="4" customWidth="1"/>
    <col min="8" max="8" width="6.109375" style="4" customWidth="1"/>
    <col min="9" max="10" width="9.109375" style="4" customWidth="1"/>
    <col min="11" max="11" width="2.109375" style="4" hidden="1" customWidth="1"/>
    <col min="12" max="16384" width="9.109375" style="4"/>
  </cols>
  <sheetData>
    <row r="1" spans="1:11" ht="15" thickBot="1" x14ac:dyDescent="0.4">
      <c r="A1" s="208" t="s">
        <v>393</v>
      </c>
      <c r="B1" s="107"/>
      <c r="C1" s="108"/>
      <c r="D1" s="46"/>
      <c r="E1" s="46"/>
      <c r="F1" s="46"/>
      <c r="G1" s="75"/>
      <c r="H1" s="75"/>
    </row>
    <row r="2" spans="1:11" ht="15" thickBot="1" x14ac:dyDescent="0.4"/>
    <row r="3" spans="1:11" ht="15" thickBot="1" x14ac:dyDescent="0.4">
      <c r="B3" s="208" t="s">
        <v>578</v>
      </c>
      <c r="C3" s="108"/>
    </row>
    <row r="5" spans="1:11" x14ac:dyDescent="0.35">
      <c r="B5" s="4" t="s">
        <v>479</v>
      </c>
    </row>
    <row r="6" spans="1:11" x14ac:dyDescent="0.35">
      <c r="B6" s="4" t="s">
        <v>480</v>
      </c>
    </row>
    <row r="7" spans="1:11" x14ac:dyDescent="0.35">
      <c r="B7" s="4" t="s">
        <v>579</v>
      </c>
    </row>
    <row r="8" spans="1:11" x14ac:dyDescent="0.35">
      <c r="B8" s="4" t="s">
        <v>497</v>
      </c>
    </row>
    <row r="9" spans="1:11" ht="15" thickBot="1" x14ac:dyDescent="0.4"/>
    <row r="10" spans="1:11" ht="15" thickBot="1" x14ac:dyDescent="0.4">
      <c r="B10" s="208" t="s">
        <v>496</v>
      </c>
      <c r="C10" s="243"/>
    </row>
    <row r="11" spans="1:11" ht="15" thickBot="1" x14ac:dyDescent="0.4">
      <c r="B11" s="244" t="s">
        <v>440</v>
      </c>
      <c r="C11" s="218" t="s">
        <v>417</v>
      </c>
      <c r="D11" s="218">
        <f>'Page de garde'!G7-2</f>
        <v>2019</v>
      </c>
      <c r="E11" s="218">
        <f>'Page de garde'!G7-1</f>
        <v>2020</v>
      </c>
      <c r="F11" s="219">
        <f>'Page de garde'!G7</f>
        <v>2021</v>
      </c>
    </row>
    <row r="12" spans="1:11" x14ac:dyDescent="0.35">
      <c r="B12" s="65" t="s">
        <v>733</v>
      </c>
      <c r="C12" s="271" t="s">
        <v>481</v>
      </c>
      <c r="D12" s="233">
        <f>SUMIF(Dépenses!$C$5:$C$504,B12,Dépenses!$G$5:$G$504)</f>
        <v>0</v>
      </c>
      <c r="E12" s="233">
        <f>SUMIF(Dépenses!$C$5:$C$504,B12,Dépenses!$H$5:$H$504)</f>
        <v>0</v>
      </c>
      <c r="F12" s="233">
        <f>SUMIF(Dépenses!$C$5:$C$504,B12,Dépenses!$N$5:$N$504)</f>
        <v>0</v>
      </c>
      <c r="K12" s="4">
        <f t="shared" ref="K12:K26" si="0">IF(F12&lt;&gt;0,1,0)</f>
        <v>0</v>
      </c>
    </row>
    <row r="13" spans="1:11" x14ac:dyDescent="0.35">
      <c r="B13" s="210" t="s">
        <v>734</v>
      </c>
      <c r="C13" s="85" t="s">
        <v>482</v>
      </c>
      <c r="D13" s="234">
        <f>SUMIF(Dépenses!$C$5:$C$504,B13,Dépenses!$G$5:$G$504)</f>
        <v>0</v>
      </c>
      <c r="E13" s="234">
        <f>SUMIF(Dépenses!$C$5:$C$504,B13,Dépenses!$H$5:$H$504)</f>
        <v>0</v>
      </c>
      <c r="F13" s="234">
        <f>SUMIF(Dépenses!$C$5:$C$504,B13,Dépenses!$N$5:$N$504)</f>
        <v>0</v>
      </c>
      <c r="K13" s="4">
        <f t="shared" si="0"/>
        <v>0</v>
      </c>
    </row>
    <row r="14" spans="1:11" x14ac:dyDescent="0.35">
      <c r="B14" s="210" t="s">
        <v>735</v>
      </c>
      <c r="C14" s="85" t="s">
        <v>483</v>
      </c>
      <c r="D14" s="234">
        <f>SUMIF(Dépenses!$C$5:$C$504,B14,Dépenses!$G$5:$G$504)</f>
        <v>0</v>
      </c>
      <c r="E14" s="234">
        <f>SUMIF(Dépenses!$C$5:$C$504,B14,Dépenses!$H$5:$H$504)</f>
        <v>0</v>
      </c>
      <c r="F14" s="234">
        <f>SUMIF(Dépenses!$C$5:$C$504,B14,Dépenses!$N$5:$N$504)</f>
        <v>0</v>
      </c>
      <c r="K14" s="4">
        <f t="shared" si="0"/>
        <v>0</v>
      </c>
    </row>
    <row r="15" spans="1:11" x14ac:dyDescent="0.35">
      <c r="B15" s="210" t="s">
        <v>736</v>
      </c>
      <c r="C15" s="85" t="s">
        <v>484</v>
      </c>
      <c r="D15" s="234">
        <f>SUMIF(Dépenses!$C$5:$C$504,B15,Dépenses!$G$5:$G$504)</f>
        <v>0</v>
      </c>
      <c r="E15" s="234">
        <f>SUMIF(Dépenses!$C$5:$C$504,B15,Dépenses!$H$5:$H$504)</f>
        <v>0</v>
      </c>
      <c r="F15" s="234">
        <f>SUMIF(Dépenses!$C$5:$C$504,B15,Dépenses!$N$5:$N$504)</f>
        <v>0</v>
      </c>
      <c r="K15" s="4">
        <f t="shared" si="0"/>
        <v>0</v>
      </c>
    </row>
    <row r="16" spans="1:11" x14ac:dyDescent="0.35">
      <c r="B16" s="210" t="s">
        <v>737</v>
      </c>
      <c r="C16" s="85" t="s">
        <v>485</v>
      </c>
      <c r="D16" s="234">
        <f>SUMIF(Dépenses!$C$5:$C$504,B16,Dépenses!$G$5:$G$504)</f>
        <v>0</v>
      </c>
      <c r="E16" s="234">
        <f>SUMIF(Dépenses!$C$5:$C$504,B16,Dépenses!$H$5:$H$504)</f>
        <v>0</v>
      </c>
      <c r="F16" s="234">
        <f>SUMIF(Dépenses!$C$5:$C$504,B16,Dépenses!$N$5:$N$504)</f>
        <v>0</v>
      </c>
      <c r="K16" s="4">
        <f t="shared" si="0"/>
        <v>0</v>
      </c>
    </row>
    <row r="17" spans="2:11" x14ac:dyDescent="0.35">
      <c r="B17" s="210" t="s">
        <v>738</v>
      </c>
      <c r="C17" s="85" t="s">
        <v>486</v>
      </c>
      <c r="D17" s="234">
        <f>SUMIF(Dépenses!$C$5:$C$504,B17,Dépenses!$G$5:$G$504)</f>
        <v>0</v>
      </c>
      <c r="E17" s="234">
        <f>SUMIF(Dépenses!$C$5:$C$504,B17,Dépenses!$H$5:$H$504)</f>
        <v>0</v>
      </c>
      <c r="F17" s="234">
        <f>SUMIF(Dépenses!$C$5:$C$504,B17,Dépenses!$N$5:$N$504)</f>
        <v>0</v>
      </c>
      <c r="K17" s="4">
        <f t="shared" si="0"/>
        <v>0</v>
      </c>
    </row>
    <row r="18" spans="2:11" x14ac:dyDescent="0.35">
      <c r="B18" s="210" t="s">
        <v>739</v>
      </c>
      <c r="C18" s="85" t="s">
        <v>487</v>
      </c>
      <c r="D18" s="234">
        <f>SUMIF(Dépenses!$C$5:$C$504,B18,Dépenses!$G$5:$G$504)</f>
        <v>0</v>
      </c>
      <c r="E18" s="234">
        <f>SUMIF(Dépenses!$C$5:$C$504,B18,Dépenses!$H$5:$H$504)</f>
        <v>0</v>
      </c>
      <c r="F18" s="234">
        <f>SUMIF(Dépenses!$C$5:$C$504,B18,Dépenses!$N$5:$N$504)</f>
        <v>0</v>
      </c>
      <c r="K18" s="4">
        <f t="shared" si="0"/>
        <v>0</v>
      </c>
    </row>
    <row r="19" spans="2:11" x14ac:dyDescent="0.35">
      <c r="B19" s="210" t="s">
        <v>740</v>
      </c>
      <c r="C19" s="85" t="s">
        <v>488</v>
      </c>
      <c r="D19" s="234">
        <f>SUMIF(Dépenses!$C$5:$C$504,B19,Dépenses!$G$5:$G$504)</f>
        <v>0</v>
      </c>
      <c r="E19" s="234">
        <f>SUMIF(Dépenses!$C$5:$C$504,B19,Dépenses!$H$5:$H$504)</f>
        <v>0</v>
      </c>
      <c r="F19" s="234">
        <f>SUMIF(Dépenses!$C$5:$C$504,B19,Dépenses!$N$5:$N$504)</f>
        <v>0</v>
      </c>
      <c r="K19" s="4">
        <f t="shared" si="0"/>
        <v>0</v>
      </c>
    </row>
    <row r="20" spans="2:11" x14ac:dyDescent="0.35">
      <c r="B20" s="210">
        <v>12902</v>
      </c>
      <c r="C20" s="85" t="s">
        <v>489</v>
      </c>
      <c r="D20" s="234">
        <f>SUMIF(Dépenses!$C$5:$C$504,B20,Dépenses!$G$5:$G$504)</f>
        <v>0</v>
      </c>
      <c r="E20" s="234">
        <f>SUMIF(Dépenses!$C$5:$C$504,B20,Dépenses!$H$5:$H$504)</f>
        <v>0</v>
      </c>
      <c r="F20" s="234">
        <f>SUMIF(Dépenses!$C$5:$C$504,B20,Dépenses!$N$5:$N$504)</f>
        <v>0</v>
      </c>
      <c r="K20" s="4">
        <f t="shared" si="0"/>
        <v>0</v>
      </c>
    </row>
    <row r="21" spans="2:11" x14ac:dyDescent="0.35">
      <c r="B21" s="210" t="s">
        <v>741</v>
      </c>
      <c r="C21" s="85" t="s">
        <v>490</v>
      </c>
      <c r="D21" s="234">
        <f>SUMIF(Dépenses!$C$5:$C$504,B21,Dépenses!$G$5:$G$504)</f>
        <v>0</v>
      </c>
      <c r="E21" s="234">
        <f>SUMIF(Dépenses!$C$5:$C$504,B21,Dépenses!$H$5:$H$504)</f>
        <v>0</v>
      </c>
      <c r="F21" s="234">
        <f>SUMIF(Dépenses!$C$5:$C$504,B21,Dépenses!$N$5:$N$504)</f>
        <v>0</v>
      </c>
      <c r="K21" s="4">
        <f t="shared" si="0"/>
        <v>0</v>
      </c>
    </row>
    <row r="22" spans="2:11" x14ac:dyDescent="0.35">
      <c r="B22" s="210" t="s">
        <v>742</v>
      </c>
      <c r="C22" s="85" t="s">
        <v>491</v>
      </c>
      <c r="D22" s="234">
        <f>SUMIF(Dépenses!$C$5:$C$504,B22,Dépenses!$G$5:$G$504)</f>
        <v>0</v>
      </c>
      <c r="E22" s="234">
        <f>SUMIF(Dépenses!$C$5:$C$504,B22,Dépenses!$H$5:$H$504)</f>
        <v>0</v>
      </c>
      <c r="F22" s="234">
        <f>SUMIF(Dépenses!$C$5:$C$504,B22,Dépenses!$N$5:$N$504)</f>
        <v>0</v>
      </c>
      <c r="K22" s="4">
        <f t="shared" si="0"/>
        <v>0</v>
      </c>
    </row>
    <row r="23" spans="2:11" x14ac:dyDescent="0.35">
      <c r="B23" s="210" t="s">
        <v>743</v>
      </c>
      <c r="C23" s="85" t="s">
        <v>492</v>
      </c>
      <c r="D23" s="234">
        <f>SUMIF(Dépenses!$C$5:$C$504,B23,Dépenses!$G$5:$G$504)</f>
        <v>0</v>
      </c>
      <c r="E23" s="234">
        <f>SUMIF(Dépenses!$C$5:$C$504,B23,Dépenses!$H$5:$H$504)</f>
        <v>0</v>
      </c>
      <c r="F23" s="234">
        <f>SUMIF(Dépenses!$C$5:$C$504,B23,Dépenses!$N$5:$N$504)</f>
        <v>0</v>
      </c>
      <c r="K23" s="4">
        <f t="shared" si="0"/>
        <v>0</v>
      </c>
    </row>
    <row r="24" spans="2:11" x14ac:dyDescent="0.35">
      <c r="B24" s="210" t="s">
        <v>744</v>
      </c>
      <c r="C24" s="85" t="s">
        <v>493</v>
      </c>
      <c r="D24" s="234">
        <f>SUMIF(Dépenses!$C$5:$C$504,B24,Dépenses!$G$5:$G$504)</f>
        <v>0</v>
      </c>
      <c r="E24" s="234">
        <f>SUMIF(Dépenses!$C$5:$C$504,B24,Dépenses!$H$5:$H$504)</f>
        <v>0</v>
      </c>
      <c r="F24" s="234">
        <f>SUMIF(Dépenses!$C$5:$C$504,B24,Dépenses!$N$5:$N$504)</f>
        <v>0</v>
      </c>
      <c r="K24" s="4">
        <f t="shared" si="0"/>
        <v>0</v>
      </c>
    </row>
    <row r="25" spans="2:11" x14ac:dyDescent="0.35">
      <c r="B25" s="210" t="s">
        <v>745</v>
      </c>
      <c r="C25" s="85" t="s">
        <v>494</v>
      </c>
      <c r="D25" s="234">
        <f>SUMIF(Dépenses!$C$5:$C$504,B25,Dépenses!$G$5:$G$504)</f>
        <v>0</v>
      </c>
      <c r="E25" s="234">
        <f>SUMIF(Dépenses!$C$5:$C$504,B25,Dépenses!$H$5:$H$504)</f>
        <v>0</v>
      </c>
      <c r="F25" s="234">
        <f>SUMIF(Dépenses!$C$5:$C$504,B25,Dépenses!$N$5:$N$504)</f>
        <v>0</v>
      </c>
      <c r="K25" s="4">
        <f t="shared" si="0"/>
        <v>0</v>
      </c>
    </row>
    <row r="26" spans="2:11" x14ac:dyDescent="0.35">
      <c r="B26" s="210" t="s">
        <v>746</v>
      </c>
      <c r="C26" s="85" t="s">
        <v>495</v>
      </c>
      <c r="D26" s="234">
        <f>SUMIF(Dépenses!$C$5:$C$504,B26,Dépenses!$G$5:$G$504)</f>
        <v>0</v>
      </c>
      <c r="E26" s="234">
        <f>SUMIF(Dépenses!$C$5:$C$504,B26,Dépenses!$H$5:$H$504)</f>
        <v>0</v>
      </c>
      <c r="F26" s="234">
        <f>SUMIF(Dépenses!$C$5:$C$504,B26,Dépenses!$N$5:$N$504)</f>
        <v>0</v>
      </c>
      <c r="K26" s="4">
        <f t="shared" si="0"/>
        <v>0</v>
      </c>
    </row>
    <row r="27" spans="2:11" ht="15" thickBot="1" x14ac:dyDescent="0.4">
      <c r="E27" s="245"/>
    </row>
    <row r="28" spans="2:11" ht="15" thickBot="1" x14ac:dyDescent="0.4">
      <c r="B28" s="208" t="s">
        <v>580</v>
      </c>
      <c r="C28" s="243"/>
    </row>
    <row r="29" spans="2:11" ht="15" thickBot="1" x14ac:dyDescent="0.4">
      <c r="B29" s="244" t="str">
        <f>B11</f>
        <v>Code Ec.</v>
      </c>
      <c r="C29" s="218" t="str">
        <f>C11</f>
        <v>Libellé</v>
      </c>
      <c r="D29" s="218">
        <f>D11</f>
        <v>2019</v>
      </c>
      <c r="E29" s="218">
        <f>E11</f>
        <v>2020</v>
      </c>
      <c r="F29" s="219">
        <f>F11</f>
        <v>2021</v>
      </c>
    </row>
    <row r="30" spans="2:11" x14ac:dyDescent="0.35">
      <c r="B30" s="210" t="s">
        <v>758</v>
      </c>
      <c r="C30" s="271" t="s">
        <v>498</v>
      </c>
      <c r="D30" s="234">
        <f>SUMIF(Dépenses!$C$5:$C$504,B30,Dépenses!$G$5:$G$504)</f>
        <v>0</v>
      </c>
      <c r="E30" s="234">
        <f>SUMIF(Dépenses!$C$5:$C$504,B30,Dépenses!$H$5:$H$504)</f>
        <v>0</v>
      </c>
      <c r="F30" s="234">
        <f>SUMIF(Dépenses!$C$5:$C$504,WerkUitg!B30,Dépenses!$N$5:$N$504)</f>
        <v>0</v>
      </c>
      <c r="K30" s="4">
        <f t="shared" ref="K30:K53" si="1">IF(SUM($F$30:$F$53)=0,0,IF(F30=0,1,0))</f>
        <v>0</v>
      </c>
    </row>
    <row r="31" spans="2:11" x14ac:dyDescent="0.35">
      <c r="B31" s="210" t="s">
        <v>764</v>
      </c>
      <c r="C31" s="85" t="s">
        <v>471</v>
      </c>
      <c r="D31" s="234">
        <f>SUMIF(Dépenses!$C$5:$C$504,B31,Dépenses!$G$5:$G$504)</f>
        <v>0</v>
      </c>
      <c r="E31" s="234">
        <f>SUMIF(Dépenses!$C$5:$C$504,B31,Dépenses!$H$5:$H$504)</f>
        <v>0</v>
      </c>
      <c r="F31" s="234">
        <f>SUMIF(Dépenses!$C$5:$C$504,WerkUitg!B31,Dépenses!$N$5:$N$504)</f>
        <v>0</v>
      </c>
      <c r="K31" s="4">
        <f t="shared" si="1"/>
        <v>0</v>
      </c>
    </row>
    <row r="32" spans="2:11" x14ac:dyDescent="0.35">
      <c r="B32" s="210" t="s">
        <v>765</v>
      </c>
      <c r="C32" s="85" t="s">
        <v>472</v>
      </c>
      <c r="D32" s="234">
        <f>SUMIF(Dépenses!$C$5:$C$504,B32,Dépenses!$G$5:$G$504)</f>
        <v>0</v>
      </c>
      <c r="E32" s="234">
        <f>SUMIF(Dépenses!$C$5:$C$504,B32,Dépenses!$H$5:$H$504)</f>
        <v>0</v>
      </c>
      <c r="F32" s="234">
        <f>SUMIF(Dépenses!$C$5:$C$504,WerkUitg!B32,Dépenses!$N$5:$N$504)</f>
        <v>0</v>
      </c>
      <c r="K32" s="4">
        <f t="shared" si="1"/>
        <v>0</v>
      </c>
    </row>
    <row r="33" spans="2:11" x14ac:dyDescent="0.35">
      <c r="B33" s="210" t="s">
        <v>747</v>
      </c>
      <c r="C33" s="85" t="s">
        <v>499</v>
      </c>
      <c r="D33" s="234">
        <f>SUMIF(Dépenses!$C$5:$C$504,B33,Dépenses!$G$5:$G$504)</f>
        <v>0</v>
      </c>
      <c r="E33" s="234">
        <f>SUMIF(Dépenses!$C$5:$C$504,B33,Dépenses!$H$5:$H$504)</f>
        <v>0</v>
      </c>
      <c r="F33" s="234">
        <f>SUMIF(Dépenses!$C$5:$C$504,WerkUitg!B33,Dépenses!$N$5:$N$504)</f>
        <v>0</v>
      </c>
      <c r="K33" s="4">
        <f t="shared" si="1"/>
        <v>0</v>
      </c>
    </row>
    <row r="34" spans="2:11" x14ac:dyDescent="0.35">
      <c r="B34" s="210" t="s">
        <v>762</v>
      </c>
      <c r="C34" s="85" t="s">
        <v>500</v>
      </c>
      <c r="D34" s="234">
        <f>SUMIF(Dépenses!$C$5:$C$504,B34,Dépenses!$G$5:$G$504)</f>
        <v>0</v>
      </c>
      <c r="E34" s="234">
        <f>SUMIF(Dépenses!$C$5:$C$504,B34,Dépenses!$H$5:$H$504)</f>
        <v>0</v>
      </c>
      <c r="F34" s="234">
        <f>SUMIF(Dépenses!$C$5:$C$504,WerkUitg!B34,Dépenses!$N$5:$N$504)</f>
        <v>0</v>
      </c>
      <c r="K34" s="4">
        <f t="shared" si="1"/>
        <v>0</v>
      </c>
    </row>
    <row r="35" spans="2:11" x14ac:dyDescent="0.35">
      <c r="B35" s="210" t="s">
        <v>748</v>
      </c>
      <c r="C35" s="85" t="s">
        <v>501</v>
      </c>
      <c r="D35" s="234">
        <f>SUMIF(Dépenses!$C$5:$C$504,B35,Dépenses!$G$5:$G$504)</f>
        <v>0</v>
      </c>
      <c r="E35" s="234">
        <f>SUMIF(Dépenses!$C$5:$C$504,B35,Dépenses!$H$5:$H$504)</f>
        <v>0</v>
      </c>
      <c r="F35" s="234">
        <f>SUMIF(Dépenses!$C$5:$C$504,WerkUitg!B35,Dépenses!$N$5:$N$504)</f>
        <v>0</v>
      </c>
      <c r="K35" s="4">
        <f t="shared" si="1"/>
        <v>0</v>
      </c>
    </row>
    <row r="36" spans="2:11" x14ac:dyDescent="0.35">
      <c r="B36" s="210" t="s">
        <v>757</v>
      </c>
      <c r="C36" s="85" t="s">
        <v>502</v>
      </c>
      <c r="D36" s="234">
        <f>SUMIF(Dépenses!$C$5:$C$504,B36,Dépenses!$G$5:$G$504)</f>
        <v>0</v>
      </c>
      <c r="E36" s="234">
        <f>SUMIF(Dépenses!$C$5:$C$504,B36,Dépenses!$H$5:$H$504)</f>
        <v>0</v>
      </c>
      <c r="F36" s="234">
        <f>SUMIF(Dépenses!$C$5:$C$504,WerkUitg!B36,Dépenses!$N$5:$N$504)</f>
        <v>0</v>
      </c>
      <c r="K36" s="4">
        <f t="shared" si="1"/>
        <v>0</v>
      </c>
    </row>
    <row r="37" spans="2:11" x14ac:dyDescent="0.35">
      <c r="B37" s="210" t="s">
        <v>754</v>
      </c>
      <c r="C37" s="85" t="s">
        <v>503</v>
      </c>
      <c r="D37" s="234">
        <f>SUMIF(Dépenses!$C$5:$C$504,B37,Dépenses!$G$5:$G$504)</f>
        <v>0</v>
      </c>
      <c r="E37" s="234">
        <f>SUMIF(Dépenses!$C$5:$C$504,B37,Dépenses!$H$5:$H$504)</f>
        <v>0</v>
      </c>
      <c r="F37" s="234">
        <f>SUMIF(Dépenses!$C$5:$C$504,WerkUitg!B37,Dépenses!$N$5:$N$504)</f>
        <v>0</v>
      </c>
      <c r="K37" s="4">
        <f t="shared" si="1"/>
        <v>0</v>
      </c>
    </row>
    <row r="38" spans="2:11" x14ac:dyDescent="0.35">
      <c r="B38" s="210" t="s">
        <v>769</v>
      </c>
      <c r="C38" s="85" t="s">
        <v>504</v>
      </c>
      <c r="D38" s="234">
        <f>SUMIF(Dépenses!$C$5:$C$504,B38,Dépenses!$G$5:$G$504)</f>
        <v>0</v>
      </c>
      <c r="E38" s="234">
        <f>SUMIF(Dépenses!$C$5:$C$504,B38,Dépenses!$H$5:$H$504)</f>
        <v>0</v>
      </c>
      <c r="F38" s="234">
        <f>SUMIF(Dépenses!$C$5:$C$504,WerkUitg!B38,Dépenses!$N$5:$N$504)</f>
        <v>0</v>
      </c>
      <c r="K38" s="4">
        <f t="shared" si="1"/>
        <v>0</v>
      </c>
    </row>
    <row r="39" spans="2:11" x14ac:dyDescent="0.35">
      <c r="B39" s="210" t="s">
        <v>749</v>
      </c>
      <c r="C39" s="85" t="s">
        <v>505</v>
      </c>
      <c r="D39" s="234">
        <f>SUMIF(Dépenses!$C$5:$C$504,B39,Dépenses!$G$5:$G$504)</f>
        <v>0</v>
      </c>
      <c r="E39" s="234">
        <f>SUMIF(Dépenses!$C$5:$C$504,B39,Dépenses!$H$5:$H$504)</f>
        <v>0</v>
      </c>
      <c r="F39" s="234">
        <f>SUMIF(Dépenses!$C$5:$C$504,WerkUitg!B39,Dépenses!$N$5:$N$504)</f>
        <v>0</v>
      </c>
      <c r="K39" s="4">
        <f t="shared" si="1"/>
        <v>0</v>
      </c>
    </row>
    <row r="40" spans="2:11" x14ac:dyDescent="0.35">
      <c r="B40" s="210" t="s">
        <v>751</v>
      </c>
      <c r="C40" s="85" t="s">
        <v>506</v>
      </c>
      <c r="D40" s="234">
        <f>SUMIF(Dépenses!$C$5:$C$504,B40,Dépenses!$G$5:$G$504)</f>
        <v>0</v>
      </c>
      <c r="E40" s="234">
        <f>SUMIF(Dépenses!$C$5:$C$504,B40,Dépenses!$H$5:$H$504)</f>
        <v>0</v>
      </c>
      <c r="F40" s="234">
        <f>SUMIF(Dépenses!$C$5:$C$504,WerkUitg!B40,Dépenses!$N$5:$N$504)</f>
        <v>0</v>
      </c>
      <c r="K40" s="4">
        <f t="shared" si="1"/>
        <v>0</v>
      </c>
    </row>
    <row r="41" spans="2:11" x14ac:dyDescent="0.35">
      <c r="B41" s="210" t="s">
        <v>753</v>
      </c>
      <c r="C41" s="85" t="s">
        <v>507</v>
      </c>
      <c r="D41" s="234">
        <f>SUMIF(Dépenses!$C$5:$C$504,B41,Dépenses!$G$5:$G$504)</f>
        <v>0</v>
      </c>
      <c r="E41" s="234">
        <f>SUMIF(Dépenses!$C$5:$C$504,B41,Dépenses!$H$5:$H$504)</f>
        <v>0</v>
      </c>
      <c r="F41" s="234">
        <f>SUMIF(Dépenses!$C$5:$C$504,WerkUitg!B41,Dépenses!$N$5:$N$504)</f>
        <v>0</v>
      </c>
      <c r="K41" s="4">
        <f t="shared" si="1"/>
        <v>0</v>
      </c>
    </row>
    <row r="42" spans="2:11" x14ac:dyDescent="0.35">
      <c r="B42" s="210" t="s">
        <v>755</v>
      </c>
      <c r="C42" s="85" t="s">
        <v>508</v>
      </c>
      <c r="D42" s="234">
        <f>SUMIF(Dépenses!$C$5:$C$504,B42,Dépenses!$G$5:$G$504)</f>
        <v>0</v>
      </c>
      <c r="E42" s="234">
        <f>SUMIF(Dépenses!$C$5:$C$504,B42,Dépenses!$H$5:$H$504)</f>
        <v>0</v>
      </c>
      <c r="F42" s="234">
        <f>SUMIF(Dépenses!$C$5:$C$504,WerkUitg!B42,Dépenses!$N$5:$N$504)</f>
        <v>0</v>
      </c>
      <c r="K42" s="4">
        <f t="shared" si="1"/>
        <v>0</v>
      </c>
    </row>
    <row r="43" spans="2:11" x14ac:dyDescent="0.35">
      <c r="B43" s="210" t="s">
        <v>767</v>
      </c>
      <c r="C43" s="85" t="s">
        <v>509</v>
      </c>
      <c r="D43" s="234">
        <f>SUMIF(Dépenses!$C$5:$C$504,B43,Dépenses!$G$5:$G$504)</f>
        <v>0</v>
      </c>
      <c r="E43" s="234">
        <f>SUMIF(Dépenses!$C$5:$C$504,B43,Dépenses!$H$5:$H$504)</f>
        <v>0</v>
      </c>
      <c r="F43" s="234">
        <f>SUMIF(Dépenses!$C$5:$C$504,WerkUitg!B43,Dépenses!$N$5:$N$504)</f>
        <v>0</v>
      </c>
      <c r="K43" s="4">
        <f t="shared" si="1"/>
        <v>0</v>
      </c>
    </row>
    <row r="44" spans="2:11" x14ac:dyDescent="0.35">
      <c r="B44" s="210" t="s">
        <v>761</v>
      </c>
      <c r="C44" s="85" t="s">
        <v>510</v>
      </c>
      <c r="D44" s="234">
        <f>SUMIF(Dépenses!$C$5:$C$504,B44,Dépenses!$G$5:$G$504)</f>
        <v>0</v>
      </c>
      <c r="E44" s="234">
        <f>SUMIF(Dépenses!$C$5:$C$504,B44,Dépenses!$H$5:$H$504)</f>
        <v>0</v>
      </c>
      <c r="F44" s="234">
        <f>SUMIF(Dépenses!$C$5:$C$504,WerkUitg!B44,Dépenses!$N$5:$N$504)</f>
        <v>0</v>
      </c>
      <c r="K44" s="4">
        <f t="shared" si="1"/>
        <v>0</v>
      </c>
    </row>
    <row r="45" spans="2:11" x14ac:dyDescent="0.35">
      <c r="B45" s="210" t="s">
        <v>770</v>
      </c>
      <c r="C45" s="85" t="s">
        <v>511</v>
      </c>
      <c r="D45" s="234">
        <f>SUMIF(Dépenses!$C$5:$C$504,B45,Dépenses!$G$5:$G$504)</f>
        <v>0</v>
      </c>
      <c r="E45" s="234">
        <f>SUMIF(Dépenses!$C$5:$C$504,B45,Dépenses!$H$5:$H$504)</f>
        <v>0</v>
      </c>
      <c r="F45" s="234">
        <f>SUMIF(Dépenses!$C$5:$C$504,WerkUitg!B45,Dépenses!$N$5:$N$504)</f>
        <v>0</v>
      </c>
      <c r="K45" s="4">
        <f t="shared" si="1"/>
        <v>0</v>
      </c>
    </row>
    <row r="46" spans="2:11" x14ac:dyDescent="0.35">
      <c r="B46" s="210" t="s">
        <v>760</v>
      </c>
      <c r="C46" s="85" t="s">
        <v>512</v>
      </c>
      <c r="D46" s="234">
        <f>SUMIF(Dépenses!$C$5:$C$504,B46,Dépenses!$G$5:$G$504)</f>
        <v>0</v>
      </c>
      <c r="E46" s="234">
        <f>SUMIF(Dépenses!$C$5:$C$504,B46,Dépenses!$H$5:$H$504)</f>
        <v>0</v>
      </c>
      <c r="F46" s="234">
        <f>SUMIF(Dépenses!$C$5:$C$504,WerkUitg!B46,Dépenses!$N$5:$N$504)</f>
        <v>0</v>
      </c>
      <c r="K46" s="4">
        <f t="shared" si="1"/>
        <v>0</v>
      </c>
    </row>
    <row r="47" spans="2:11" x14ac:dyDescent="0.35">
      <c r="B47" s="210" t="s">
        <v>763</v>
      </c>
      <c r="C47" s="85" t="s">
        <v>513</v>
      </c>
      <c r="D47" s="234">
        <f>SUMIF(Dépenses!$C$5:$C$504,B47,Dépenses!$G$5:$G$504)</f>
        <v>0</v>
      </c>
      <c r="E47" s="234">
        <f>SUMIF(Dépenses!$C$5:$C$504,B47,Dépenses!$H$5:$H$504)</f>
        <v>0</v>
      </c>
      <c r="F47" s="234">
        <f>SUMIF(Dépenses!$C$5:$C$504,WerkUitg!B47,Dépenses!$N$5:$N$504)</f>
        <v>0</v>
      </c>
      <c r="K47" s="4">
        <f t="shared" si="1"/>
        <v>0</v>
      </c>
    </row>
    <row r="48" spans="2:11" x14ac:dyDescent="0.35">
      <c r="B48" s="210" t="s">
        <v>759</v>
      </c>
      <c r="C48" s="85" t="s">
        <v>514</v>
      </c>
      <c r="D48" s="234">
        <f>SUMIF(Dépenses!$C$5:$C$504,B48,Dépenses!$G$5:$G$504)</f>
        <v>0</v>
      </c>
      <c r="E48" s="234">
        <f>SUMIF(Dépenses!$C$5:$C$504,B48,Dépenses!$H$5:$H$504)</f>
        <v>0</v>
      </c>
      <c r="F48" s="234">
        <f>SUMIF(Dépenses!$C$5:$C$504,WerkUitg!B48,Dépenses!$N$5:$N$504)</f>
        <v>0</v>
      </c>
      <c r="K48" s="4">
        <f t="shared" si="1"/>
        <v>0</v>
      </c>
    </row>
    <row r="49" spans="2:11" x14ac:dyDescent="0.35">
      <c r="B49" s="210" t="s">
        <v>750</v>
      </c>
      <c r="C49" s="85" t="s">
        <v>515</v>
      </c>
      <c r="D49" s="234">
        <f>SUMIF(Dépenses!$C$5:$C$504,B49,Dépenses!$G$5:$G$504)</f>
        <v>0</v>
      </c>
      <c r="E49" s="234">
        <f>SUMIF(Dépenses!$C$5:$C$504,B49,Dépenses!$H$5:$H$504)</f>
        <v>0</v>
      </c>
      <c r="F49" s="234">
        <f>SUMIF(Dépenses!$C$5:$C$504,WerkUitg!B49,Dépenses!$N$5:$N$504)</f>
        <v>0</v>
      </c>
      <c r="K49" s="4">
        <f t="shared" si="1"/>
        <v>0</v>
      </c>
    </row>
    <row r="50" spans="2:11" x14ac:dyDescent="0.35">
      <c r="B50" s="210" t="s">
        <v>752</v>
      </c>
      <c r="C50" s="85" t="s">
        <v>516</v>
      </c>
      <c r="D50" s="234">
        <f>SUMIF(Dépenses!$C$5:$C$504,B50,Dépenses!$G$5:$G$504)</f>
        <v>0</v>
      </c>
      <c r="E50" s="234">
        <f>SUMIF(Dépenses!$C$5:$C$504,B50,Dépenses!$H$5:$H$504)</f>
        <v>0</v>
      </c>
      <c r="F50" s="234">
        <f>SUMIF(Dépenses!$C$5:$C$504,WerkUitg!B50,Dépenses!$N$5:$N$504)</f>
        <v>0</v>
      </c>
      <c r="K50" s="4">
        <f t="shared" si="1"/>
        <v>0</v>
      </c>
    </row>
    <row r="51" spans="2:11" x14ac:dyDescent="0.35">
      <c r="B51" s="210" t="s">
        <v>756</v>
      </c>
      <c r="C51" s="85" t="s">
        <v>517</v>
      </c>
      <c r="D51" s="234">
        <f>SUMIF(Dépenses!$C$5:$C$504,B51,Dépenses!$G$5:$G$504)</f>
        <v>0</v>
      </c>
      <c r="E51" s="234">
        <f>SUMIF(Dépenses!$C$5:$C$504,B51,Dépenses!$H$5:$H$504)</f>
        <v>0</v>
      </c>
      <c r="F51" s="234">
        <f>SUMIF(Dépenses!$C$5:$C$504,WerkUitg!B51,Dépenses!$N$5:$N$504)</f>
        <v>0</v>
      </c>
      <c r="K51" s="4">
        <f t="shared" si="1"/>
        <v>0</v>
      </c>
    </row>
    <row r="52" spans="2:11" x14ac:dyDescent="0.35">
      <c r="B52" s="210" t="s">
        <v>766</v>
      </c>
      <c r="C52" s="85" t="s">
        <v>518</v>
      </c>
      <c r="D52" s="234">
        <f>SUMIF(Dépenses!$C$5:$C$504,B52,Dépenses!$G$5:$G$504)</f>
        <v>0</v>
      </c>
      <c r="E52" s="234">
        <f>SUMIF(Dépenses!$C$5:$C$504,B52,Dépenses!$H$5:$H$504)</f>
        <v>0</v>
      </c>
      <c r="F52" s="234">
        <f>SUMIF(Dépenses!$C$5:$C$504,WerkUitg!B52,Dépenses!$N$5:$N$504)</f>
        <v>0</v>
      </c>
      <c r="K52" s="4">
        <f t="shared" si="1"/>
        <v>0</v>
      </c>
    </row>
    <row r="53" spans="2:11" x14ac:dyDescent="0.35">
      <c r="B53" s="210" t="s">
        <v>768</v>
      </c>
      <c r="C53" s="85" t="s">
        <v>519</v>
      </c>
      <c r="D53" s="234">
        <f>SUMIF(Dépenses!$C$5:$C$504,B53,Dépenses!$G$5:$G$504)</f>
        <v>0</v>
      </c>
      <c r="E53" s="234">
        <f>SUMIF(Dépenses!$C$5:$C$504,B53,Dépenses!$H$5:$H$504)</f>
        <v>0</v>
      </c>
      <c r="F53" s="234">
        <f>SUMIF(Dépenses!$C$5:$C$504,WerkUitg!B53,Dépenses!$N$5:$N$504)</f>
        <v>0</v>
      </c>
      <c r="K53" s="4">
        <f t="shared" si="1"/>
        <v>0</v>
      </c>
    </row>
    <row r="54" spans="2:11" ht="15" thickBot="1" x14ac:dyDescent="0.4"/>
    <row r="55" spans="2:11" ht="15" thickBot="1" x14ac:dyDescent="0.4">
      <c r="B55" s="208" t="s">
        <v>581</v>
      </c>
      <c r="C55" s="108"/>
    </row>
    <row r="56" spans="2:11" ht="15" thickBot="1" x14ac:dyDescent="0.4"/>
    <row r="57" spans="2:11" ht="15" thickBot="1" x14ac:dyDescent="0.4">
      <c r="D57" s="244">
        <f>'Page de garde'!G7-2</f>
        <v>2019</v>
      </c>
      <c r="E57" s="218">
        <f>'Page de garde'!G7-1</f>
        <v>2020</v>
      </c>
      <c r="F57" s="218">
        <f>'Page de garde'!G7</f>
        <v>2021</v>
      </c>
      <c r="G57" s="219" t="s">
        <v>558</v>
      </c>
    </row>
    <row r="58" spans="2:11" x14ac:dyDescent="0.35">
      <c r="B58" s="210">
        <v>121</v>
      </c>
      <c r="C58" s="112" t="s">
        <v>520</v>
      </c>
      <c r="D58" s="233">
        <f>SUMIF(Dépenses!$P$5:$P$504,B58,Dépenses!$G$5:$G$504)</f>
        <v>0</v>
      </c>
      <c r="E58" s="233">
        <f>SUMIF(Dépenses!$P$5:$P$504,B58,Dépenses!$H$5:$H$504)</f>
        <v>0</v>
      </c>
      <c r="F58" s="233">
        <f>SUMIF(Dépenses!$P$5:$P$504,B58,Dépenses!$N$5:$N$504)</f>
        <v>0</v>
      </c>
      <c r="G58" s="246">
        <f t="shared" ref="G58:G65" si="2">IF(MIN(D58:F58)&lt;=0,0,STDEV(D58:F58)/AVERAGE(D58:F58))</f>
        <v>0</v>
      </c>
      <c r="K58" s="4">
        <f t="shared" ref="K58:K65" si="3">IF(G58&gt;10%,1,0)</f>
        <v>0</v>
      </c>
    </row>
    <row r="59" spans="2:11" x14ac:dyDescent="0.35">
      <c r="B59" s="210">
        <v>122</v>
      </c>
      <c r="C59" s="112" t="s">
        <v>582</v>
      </c>
      <c r="D59" s="234">
        <f>SUMIF(Dépenses!$P$5:$P$504,WerkUitg!B59,Dépenses!$G$5:$G$504)</f>
        <v>0</v>
      </c>
      <c r="E59" s="234">
        <f>SUMIF(Dépenses!$P$5:$P$504,B59,Dépenses!$H$5:$H$504)</f>
        <v>0</v>
      </c>
      <c r="F59" s="234">
        <f>SUMIF(Dépenses!$P$5:$P$504,B59,Dépenses!$N$5:$N$504)</f>
        <v>0</v>
      </c>
      <c r="G59" s="247">
        <f t="shared" si="2"/>
        <v>0</v>
      </c>
      <c r="K59" s="4">
        <f t="shared" si="3"/>
        <v>0</v>
      </c>
    </row>
    <row r="60" spans="2:11" x14ac:dyDescent="0.35">
      <c r="B60" s="210">
        <v>123</v>
      </c>
      <c r="C60" s="112" t="s">
        <v>583</v>
      </c>
      <c r="D60" s="234">
        <f>SUMIF(Dépenses!$P$5:$P$504,WerkUitg!B60,Dépenses!$G$5:$G$504)</f>
        <v>0</v>
      </c>
      <c r="E60" s="234">
        <f>SUMIF(Dépenses!$P$5:$P$504,B60,Dépenses!$H$5:$H$504)</f>
        <v>0</v>
      </c>
      <c r="F60" s="234">
        <f>SUMIF(Dépenses!$P$5:$P$504,B60,Dépenses!$N$5:$N$504)</f>
        <v>0</v>
      </c>
      <c r="G60" s="247">
        <f t="shared" si="2"/>
        <v>0</v>
      </c>
      <c r="K60" s="4">
        <f t="shared" si="3"/>
        <v>0</v>
      </c>
    </row>
    <row r="61" spans="2:11" x14ac:dyDescent="0.35">
      <c r="B61" s="210">
        <v>124</v>
      </c>
      <c r="C61" s="112" t="s">
        <v>584</v>
      </c>
      <c r="D61" s="234">
        <f>SUMIF(Dépenses!$P$5:$P$504,WerkUitg!B61,Dépenses!$G$5:$G$504)</f>
        <v>0</v>
      </c>
      <c r="E61" s="234">
        <f>SUMIF(Dépenses!$P$5:$P$504,B61,Dépenses!$H$5:$H$504)</f>
        <v>0</v>
      </c>
      <c r="F61" s="234">
        <f>SUMIF(Dépenses!$P$5:$P$504,B61,Dépenses!$N$5:$N$504)</f>
        <v>0</v>
      </c>
      <c r="G61" s="247">
        <f t="shared" si="2"/>
        <v>0</v>
      </c>
      <c r="K61" s="4">
        <f t="shared" si="3"/>
        <v>0</v>
      </c>
    </row>
    <row r="62" spans="2:11" x14ac:dyDescent="0.35">
      <c r="B62" s="210">
        <v>125</v>
      </c>
      <c r="C62" s="112" t="s">
        <v>521</v>
      </c>
      <c r="D62" s="234">
        <f>SUMIF(Dépenses!$P$5:$P$504,WerkUitg!B62,Dépenses!$G$5:$G$504)</f>
        <v>0</v>
      </c>
      <c r="E62" s="234">
        <f>SUMIF(Dépenses!$P$5:$P$504,B62,Dépenses!$H$5:$H$504)</f>
        <v>0</v>
      </c>
      <c r="F62" s="234">
        <f>SUMIF(Dépenses!$P$5:$P$504,B62,Dépenses!$N$5:$N$504)</f>
        <v>0</v>
      </c>
      <c r="G62" s="247">
        <f t="shared" si="2"/>
        <v>0</v>
      </c>
      <c r="K62" s="4">
        <f t="shared" si="3"/>
        <v>0</v>
      </c>
    </row>
    <row r="63" spans="2:11" x14ac:dyDescent="0.35">
      <c r="B63" s="210">
        <v>126</v>
      </c>
      <c r="C63" s="112" t="s">
        <v>522</v>
      </c>
      <c r="D63" s="234">
        <f>SUMIF(Dépenses!$P$5:$P$504,WerkUitg!B63,Dépenses!$G$5:$G$504)</f>
        <v>0</v>
      </c>
      <c r="E63" s="234">
        <f>SUMIF(Dépenses!$P$5:$P$504,B63,Dépenses!$H$5:$H$504)</f>
        <v>0</v>
      </c>
      <c r="F63" s="234">
        <f>SUMIF(Dépenses!$P$5:$P$504,B63,Dépenses!$N$5:$N$504)</f>
        <v>0</v>
      </c>
      <c r="G63" s="247">
        <f t="shared" si="2"/>
        <v>0</v>
      </c>
      <c r="K63" s="4">
        <f t="shared" si="3"/>
        <v>0</v>
      </c>
    </row>
    <row r="64" spans="2:11" x14ac:dyDescent="0.35">
      <c r="B64" s="210">
        <v>127</v>
      </c>
      <c r="C64" s="112" t="s">
        <v>523</v>
      </c>
      <c r="D64" s="234">
        <f>SUMIF(Dépenses!$P$5:$P$504,WerkUitg!B64,Dépenses!$G$5:$G$504)</f>
        <v>0</v>
      </c>
      <c r="E64" s="234">
        <f>SUMIF(Dépenses!$P$5:$P$504,B64,Dépenses!$H$5:$H$504)</f>
        <v>0</v>
      </c>
      <c r="F64" s="234">
        <f>SUMIF(Dépenses!$P$5:$P$504,B64,Dépenses!$N$5:$N$504)</f>
        <v>0</v>
      </c>
      <c r="G64" s="247">
        <f t="shared" si="2"/>
        <v>0</v>
      </c>
      <c r="K64" s="4">
        <f t="shared" si="3"/>
        <v>0</v>
      </c>
    </row>
    <row r="65" spans="2:11" x14ac:dyDescent="0.35">
      <c r="B65" s="210">
        <v>128</v>
      </c>
      <c r="C65" s="112" t="s">
        <v>524</v>
      </c>
      <c r="D65" s="234">
        <f>SUMIF(Dépenses!$P$5:$P$504,WerkUitg!B65,Dépenses!$G$5:$G$504)</f>
        <v>0</v>
      </c>
      <c r="E65" s="234">
        <f>SUMIF(Dépenses!$P$5:$P$504,B65,Dépenses!$H$5:$H$504)</f>
        <v>0</v>
      </c>
      <c r="F65" s="234">
        <f>SUMIF(Dépenses!$P$5:$P$504,B65,Dépenses!$N$5:$N$504)</f>
        <v>0</v>
      </c>
      <c r="G65" s="247">
        <f t="shared" si="2"/>
        <v>0</v>
      </c>
      <c r="K65" s="4">
        <f t="shared" si="3"/>
        <v>0</v>
      </c>
    </row>
    <row r="66" spans="2:11" ht="15" thickBot="1" x14ac:dyDescent="0.4"/>
    <row r="67" spans="2:11" ht="15" thickBot="1" x14ac:dyDescent="0.4">
      <c r="B67" s="208" t="s">
        <v>585</v>
      </c>
      <c r="C67" s="108"/>
    </row>
    <row r="68" spans="2:11" ht="15" thickBot="1" x14ac:dyDescent="0.4"/>
    <row r="69" spans="2:11" ht="15" thickBot="1" x14ac:dyDescent="0.4">
      <c r="E69" s="43">
        <f>F57</f>
        <v>2021</v>
      </c>
    </row>
    <row r="70" spans="2:11" x14ac:dyDescent="0.35">
      <c r="C70" s="235" t="s">
        <v>525</v>
      </c>
      <c r="D70" s="72"/>
      <c r="E70" s="248">
        <f>SUMIF(Dépenses!E5:E504,71,Dépenses!N5:N504)</f>
        <v>0</v>
      </c>
    </row>
    <row r="71" spans="2:11" x14ac:dyDescent="0.35">
      <c r="C71" s="236" t="s">
        <v>526</v>
      </c>
      <c r="D71" s="80"/>
      <c r="E71" s="249" t="str">
        <f>IF(SUM(PersUitg!D5:D9)=0,"Pas de données",SUM(PersUitg!D5:D9))</f>
        <v>Pas de données</v>
      </c>
    </row>
    <row r="72" spans="2:11" x14ac:dyDescent="0.35">
      <c r="C72" s="250" t="s">
        <v>477</v>
      </c>
      <c r="D72" s="251"/>
      <c r="E72" s="252" t="str">
        <f>IF(E71="Pas de données","",E70/E71)</f>
        <v/>
      </c>
    </row>
    <row r="73" spans="2:11" ht="15" thickBot="1" x14ac:dyDescent="0.4"/>
    <row r="74" spans="2:11" ht="15" thickBot="1" x14ac:dyDescent="0.4">
      <c r="B74" s="208" t="s">
        <v>586</v>
      </c>
      <c r="C74" s="108"/>
    </row>
    <row r="76" spans="2:11" x14ac:dyDescent="0.35">
      <c r="D76" s="8" t="s">
        <v>529</v>
      </c>
      <c r="E76" s="8" t="s">
        <v>370</v>
      </c>
      <c r="F76" s="8" t="s">
        <v>527</v>
      </c>
    </row>
    <row r="77" spans="2:11" x14ac:dyDescent="0.35">
      <c r="B77" s="210" t="str">
        <f>B31</f>
        <v>12103</v>
      </c>
      <c r="C77" s="112" t="str">
        <f>C31</f>
        <v>Frais vestimentaires du personnel</v>
      </c>
      <c r="D77" s="234">
        <f>PersUitg!D38</f>
        <v>0</v>
      </c>
      <c r="E77" s="234">
        <f>F31</f>
        <v>0</v>
      </c>
      <c r="F77" s="210" t="str">
        <f>IF(E77&lt;D77,"Trop peu élevé","")</f>
        <v/>
      </c>
      <c r="K77" s="4">
        <f>IF(F77="Te weinig",1,0)</f>
        <v>0</v>
      </c>
    </row>
    <row r="78" spans="2:11" x14ac:dyDescent="0.35">
      <c r="B78" s="210" t="str">
        <f>B32</f>
        <v>12148</v>
      </c>
      <c r="C78" s="112" t="str">
        <f>C32</f>
        <v>Indemnités diverses</v>
      </c>
      <c r="D78" s="234">
        <f>PersUitg!D39</f>
        <v>0</v>
      </c>
      <c r="E78" s="234">
        <f>F32</f>
        <v>0</v>
      </c>
      <c r="F78" s="210" t="str">
        <f>IF(E78&lt;D78,"Trop peu élevé","")</f>
        <v/>
      </c>
      <c r="K78" s="4">
        <f>IF(F78="Te weinig",1,0)</f>
        <v>0</v>
      </c>
    </row>
  </sheetData>
  <sheetProtection password="87B9" sheet="1" objects="1" scenarios="1"/>
  <phoneticPr fontId="0" type="noConversion"/>
  <conditionalFormatting sqref="D30:F53">
    <cfRule type="cellIs" dxfId="10" priority="1" stopIfTrue="1" operator="equal">
      <formula>0</formula>
    </cfRule>
  </conditionalFormatting>
  <conditionalFormatting sqref="G58:G65">
    <cfRule type="cellIs" dxfId="9" priority="2" stopIfTrue="1" operator="greaterThan">
      <formula>0.1</formula>
    </cfRule>
  </conditionalFormatting>
  <conditionalFormatting sqref="D12:F26">
    <cfRule type="cellIs" dxfId="8" priority="3" stopIfTrue="1" operator="notEqual">
      <formula>0</formula>
    </cfRule>
  </conditionalFormatting>
  <conditionalFormatting sqref="F77:F78">
    <cfRule type="cellIs" dxfId="7" priority="4" stopIfTrue="1" operator="equal">
      <formula>"Trop peu élevé"</formula>
    </cfRule>
  </conditionalFormatting>
  <printOptions horizontalCentered="1"/>
  <pageMargins left="0.31496062992125984" right="0.27559055118110237" top="0.74803149606299213" bottom="0.98425196850393704" header="0.51181102362204722" footer="0.51181102362204722"/>
  <pageSetup paperSize="9" scale="85" orientation="landscape" horizontalDpi="300" verticalDpi="300" r:id="rId1"/>
  <headerFooter alignWithMargins="0">
    <oddFooter>&amp;R&amp;A</oddFooter>
  </headerFooter>
  <rowBreaks count="2" manualBreakCount="2">
    <brk id="27" max="16383" man="1"/>
    <brk id="5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K10"/>
  <sheetViews>
    <sheetView showGridLines="0" zoomScale="85" workbookViewId="0">
      <selection activeCell="F14" sqref="F14:L48"/>
    </sheetView>
  </sheetViews>
  <sheetFormatPr baseColWidth="10" defaultColWidth="9.109375" defaultRowHeight="14.4" x14ac:dyDescent="0.35"/>
  <cols>
    <col min="1" max="1" width="4.5546875" style="4" customWidth="1"/>
    <col min="2" max="2" width="3.6640625" style="4" customWidth="1"/>
    <col min="3" max="7" width="9.109375" style="4" customWidth="1"/>
    <col min="8" max="8" width="14.88671875" style="4" customWidth="1"/>
    <col min="9" max="10" width="9.109375" style="4" customWidth="1"/>
    <col min="11" max="11" width="2.109375" style="4" hidden="1" customWidth="1"/>
    <col min="12" max="16384" width="9.109375" style="4"/>
  </cols>
  <sheetData>
    <row r="1" spans="1:11" ht="15" thickBot="1" x14ac:dyDescent="0.4">
      <c r="A1" s="208" t="s">
        <v>394</v>
      </c>
      <c r="B1" s="107"/>
      <c r="C1" s="107"/>
      <c r="D1" s="107"/>
      <c r="E1" s="107"/>
      <c r="F1" s="107"/>
      <c r="G1" s="108"/>
      <c r="H1" s="274"/>
      <c r="I1" s="75"/>
      <c r="J1" s="75"/>
    </row>
    <row r="2" spans="1:11" ht="15" thickBot="1" x14ac:dyDescent="0.4"/>
    <row r="3" spans="1:11" ht="15" thickBot="1" x14ac:dyDescent="0.4">
      <c r="B3" s="208" t="s">
        <v>587</v>
      </c>
      <c r="C3" s="107"/>
      <c r="D3" s="107"/>
      <c r="E3" s="107"/>
      <c r="F3" s="107"/>
      <c r="G3" s="108"/>
    </row>
    <row r="5" spans="1:11" x14ac:dyDescent="0.35">
      <c r="B5" s="4" t="s">
        <v>336</v>
      </c>
    </row>
    <row r="6" spans="1:11" x14ac:dyDescent="0.35">
      <c r="B6" s="4" t="s">
        <v>771</v>
      </c>
    </row>
    <row r="8" spans="1:11" x14ac:dyDescent="0.35">
      <c r="C8" s="235" t="s">
        <v>332</v>
      </c>
      <c r="D8" s="71"/>
      <c r="E8" s="71"/>
      <c r="F8" s="71"/>
      <c r="G8" s="72"/>
      <c r="H8" s="5">
        <f>'Données générales'!F49</f>
        <v>0</v>
      </c>
    </row>
    <row r="9" spans="1:11" x14ac:dyDescent="0.35">
      <c r="C9" s="236" t="s">
        <v>772</v>
      </c>
      <c r="D9" s="79"/>
      <c r="E9" s="79"/>
      <c r="F9" s="79"/>
      <c r="G9" s="80"/>
      <c r="H9" s="234">
        <f>SUMIF(Dépenses!C5:C504,41501,Dépenses!N5:N504)</f>
        <v>0</v>
      </c>
    </row>
    <row r="10" spans="1:11" x14ac:dyDescent="0.35">
      <c r="C10" s="78" t="s">
        <v>527</v>
      </c>
      <c r="D10" s="79"/>
      <c r="E10" s="79"/>
      <c r="F10" s="79"/>
      <c r="G10" s="80"/>
      <c r="H10" s="5" t="str">
        <f>IF(AND(H8="Oui",H9=0),"Erreur","En ordre")</f>
        <v>En ordre</v>
      </c>
      <c r="K10" s="4">
        <f>IF(H10="Fout",1,0)</f>
        <v>0</v>
      </c>
    </row>
  </sheetData>
  <sheetProtection password="EC8D" sheet="1" objects="1" scenarios="1"/>
  <phoneticPr fontId="0" type="noConversion"/>
  <conditionalFormatting sqref="H10">
    <cfRule type="cellIs" dxfId="6" priority="1" stopIfTrue="1" operator="equal">
      <formula>"Erreur"</formula>
    </cfRule>
  </conditionalFormatting>
  <pageMargins left="0.75" right="0.75" top="1" bottom="1" header="0.5" footer="0.5"/>
  <pageSetup paperSize="9" orientation="portrait" horizontalDpi="300" verticalDpi="300" r:id="rId1"/>
  <headerFooter alignWithMargins="0"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/>
  <dimension ref="A1:K15"/>
  <sheetViews>
    <sheetView showGridLines="0" zoomScale="85" workbookViewId="0">
      <selection activeCell="F14" sqref="F14:L48"/>
    </sheetView>
  </sheetViews>
  <sheetFormatPr baseColWidth="10" defaultColWidth="9.109375" defaultRowHeight="14.4" x14ac:dyDescent="0.35"/>
  <cols>
    <col min="1" max="1" width="3.33203125" style="4" customWidth="1"/>
    <col min="2" max="2" width="45" style="4" customWidth="1"/>
    <col min="3" max="3" width="21.6640625" style="4" customWidth="1"/>
    <col min="4" max="6" width="17.6640625" style="4" customWidth="1"/>
    <col min="7" max="10" width="9.109375" style="4" customWidth="1"/>
    <col min="11" max="11" width="2.109375" style="4" hidden="1" customWidth="1"/>
    <col min="12" max="16384" width="9.109375" style="4"/>
  </cols>
  <sheetData>
    <row r="1" spans="1:11" ht="15" thickBot="1" x14ac:dyDescent="0.4">
      <c r="A1" s="208" t="s">
        <v>334</v>
      </c>
      <c r="B1" s="107"/>
      <c r="C1" s="108"/>
      <c r="D1" s="273"/>
      <c r="E1" s="75"/>
      <c r="F1" s="75"/>
    </row>
    <row r="2" spans="1:11" ht="15" thickBot="1" x14ac:dyDescent="0.4"/>
    <row r="3" spans="1:11" x14ac:dyDescent="0.35">
      <c r="B3" s="253" t="s">
        <v>773</v>
      </c>
      <c r="C3" s="254"/>
      <c r="D3" s="217"/>
    </row>
    <row r="4" spans="1:11" x14ac:dyDescent="0.35">
      <c r="B4" s="112" t="s">
        <v>774</v>
      </c>
      <c r="C4" s="42" t="s">
        <v>536</v>
      </c>
      <c r="D4" s="216">
        <v>0</v>
      </c>
    </row>
    <row r="5" spans="1:11" x14ac:dyDescent="0.35">
      <c r="B5" s="112" t="s">
        <v>775</v>
      </c>
      <c r="C5" s="42" t="s">
        <v>537</v>
      </c>
      <c r="D5" s="216">
        <v>0</v>
      </c>
    </row>
    <row r="6" spans="1:11" x14ac:dyDescent="0.35">
      <c r="B6" s="112" t="s">
        <v>333</v>
      </c>
      <c r="D6" s="216">
        <v>0</v>
      </c>
    </row>
    <row r="8" spans="1:11" x14ac:dyDescent="0.35">
      <c r="B8" s="112" t="s">
        <v>776</v>
      </c>
      <c r="C8" s="5" t="s">
        <v>538</v>
      </c>
      <c r="D8" s="234">
        <f>ROUND(ABS(D5-D4)/20,2)</f>
        <v>0</v>
      </c>
    </row>
    <row r="9" spans="1:11" x14ac:dyDescent="0.35">
      <c r="B9" s="112" t="str">
        <f>"Indexation " &amp; 'Page de garde'!G7</f>
        <v>Indexation 2021</v>
      </c>
      <c r="C9" s="255">
        <v>1.4999999999999999E-2</v>
      </c>
      <c r="D9" s="112">
        <f>ROUND(D8*1.5%,2)</f>
        <v>0</v>
      </c>
    </row>
    <row r="10" spans="1:11" ht="15" thickBot="1" x14ac:dyDescent="0.4"/>
    <row r="11" spans="1:11" ht="15" thickBot="1" x14ac:dyDescent="0.4">
      <c r="B11" s="119" t="s">
        <v>777</v>
      </c>
      <c r="C11" s="120" t="s">
        <v>433</v>
      </c>
      <c r="D11" s="120" t="s">
        <v>778</v>
      </c>
      <c r="E11" s="120" t="s">
        <v>779</v>
      </c>
      <c r="F11" s="121" t="s">
        <v>430</v>
      </c>
    </row>
    <row r="12" spans="1:11" x14ac:dyDescent="0.35">
      <c r="B12" s="118" t="s">
        <v>588</v>
      </c>
      <c r="C12" s="65" t="str">
        <f>IF(D5&lt;D4,"33001/891-01/2004","33001/911-01/2004")</f>
        <v>33001/911-01/2004</v>
      </c>
      <c r="D12" s="233">
        <f>D8</f>
        <v>0</v>
      </c>
      <c r="E12" s="233">
        <f>SUMIF(Recettes!$R$5:$R$504,CorrMech!C12,Recettes!$N$5:$N$504)+SUMIF(Dépenses!$R$5:$R$504,CorrMech!C12,Dépenses!$N$5:$N$504)</f>
        <v>0</v>
      </c>
      <c r="F12" s="233">
        <f>D12-E12</f>
        <v>0</v>
      </c>
      <c r="K12" s="4">
        <f>IF(OR(F12&lt;-1,F12&gt;1),1,0)</f>
        <v>0</v>
      </c>
    </row>
    <row r="13" spans="1:11" x14ac:dyDescent="0.35">
      <c r="B13" s="112" t="s">
        <v>780</v>
      </c>
      <c r="C13" s="210" t="str">
        <f>IF(MID(C12,7,6)="891-01","33001/261-03/2004","33001/211-01/2004")</f>
        <v>33001/211-01/2004</v>
      </c>
      <c r="D13" s="112">
        <f>D9</f>
        <v>0</v>
      </c>
      <c r="E13" s="234">
        <f>SUMIF(Recettes!$R$5:$R$504,CorrMech!C13,Recettes!$N$5:$N$504)+SUMIF(Dépenses!$R$5:$R$504,CorrMech!C13,Dépenses!$N$5:$N$504)</f>
        <v>0</v>
      </c>
      <c r="F13" s="234">
        <f>D13-E13</f>
        <v>0</v>
      </c>
      <c r="K13" s="4">
        <f>IF(OR(F13&lt;-1,F13&gt;1),1,0)</f>
        <v>0</v>
      </c>
    </row>
    <row r="14" spans="1:11" x14ac:dyDescent="0.35">
      <c r="B14" s="112" t="s">
        <v>333</v>
      </c>
      <c r="C14" s="210" t="s">
        <v>539</v>
      </c>
      <c r="D14" s="234">
        <f>D6</f>
        <v>0</v>
      </c>
      <c r="E14" s="234">
        <f>SUMIF(Recettes!C5:C504,"46501",Recettes!N5:N504)</f>
        <v>0</v>
      </c>
      <c r="F14" s="234">
        <f>D14-E14</f>
        <v>0</v>
      </c>
      <c r="K14" s="4">
        <f>IF(OR(F14&lt;-1,F14&gt;1),1,0)</f>
        <v>0</v>
      </c>
    </row>
    <row r="15" spans="1:11" x14ac:dyDescent="0.35">
      <c r="B15" s="112" t="s">
        <v>335</v>
      </c>
      <c r="C15" s="210" t="s">
        <v>540</v>
      </c>
      <c r="D15" s="234">
        <f>D14</f>
        <v>0</v>
      </c>
      <c r="E15" s="234">
        <f>SUMIF(Dépenses!R5:R504,CorrMech!C15,Dépenses!N5:N504)</f>
        <v>0</v>
      </c>
      <c r="F15" s="234">
        <f>D15-E15</f>
        <v>0</v>
      </c>
      <c r="K15" s="4">
        <f>IF(OR(F15&lt;-1,F15&gt;1),1,0)</f>
        <v>0</v>
      </c>
    </row>
  </sheetData>
  <sheetProtection password="82A9" sheet="1" objects="1" scenarios="1"/>
  <phoneticPr fontId="0" type="noConversion"/>
  <conditionalFormatting sqref="F12:F15">
    <cfRule type="cellIs" dxfId="5" priority="1" stopIfTrue="1" operator="notBetween">
      <formula>-1</formula>
      <formula>1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K19"/>
  <sheetViews>
    <sheetView showGridLines="0" zoomScale="85" workbookViewId="0">
      <selection activeCell="F14" sqref="F14:L48"/>
    </sheetView>
  </sheetViews>
  <sheetFormatPr baseColWidth="10" defaultColWidth="9.109375" defaultRowHeight="14.4" x14ac:dyDescent="0.35"/>
  <cols>
    <col min="1" max="1" width="4.109375" style="4" customWidth="1"/>
    <col min="2" max="2" width="2.6640625" style="4" customWidth="1"/>
    <col min="3" max="3" width="39.109375" style="4" customWidth="1"/>
    <col min="4" max="4" width="17.6640625" style="4" customWidth="1"/>
    <col min="5" max="5" width="10.33203125" style="4" customWidth="1"/>
    <col min="6" max="8" width="17.6640625" style="4" customWidth="1"/>
    <col min="9" max="10" width="9.109375" style="4" customWidth="1"/>
    <col min="11" max="11" width="2.109375" style="4" hidden="1" customWidth="1"/>
    <col min="12" max="16384" width="9.109375" style="4"/>
  </cols>
  <sheetData>
    <row r="1" spans="1:11" ht="15" thickBot="1" x14ac:dyDescent="0.4">
      <c r="A1" s="208" t="s">
        <v>395</v>
      </c>
      <c r="B1" s="107"/>
      <c r="C1" s="107"/>
      <c r="D1" s="108"/>
      <c r="E1" s="274"/>
      <c r="F1" s="75"/>
      <c r="G1" s="75"/>
      <c r="H1" s="75"/>
    </row>
    <row r="2" spans="1:11" ht="15" thickBot="1" x14ac:dyDescent="0.4"/>
    <row r="3" spans="1:11" ht="15" thickBot="1" x14ac:dyDescent="0.4">
      <c r="B3" s="208" t="s">
        <v>589</v>
      </c>
      <c r="C3" s="107"/>
      <c r="D3" s="108"/>
    </row>
    <row r="4" spans="1:11" ht="15" thickBot="1" x14ac:dyDescent="0.4"/>
    <row r="5" spans="1:11" ht="15" thickBot="1" x14ac:dyDescent="0.4">
      <c r="D5" s="119" t="s">
        <v>781</v>
      </c>
      <c r="E5" s="120" t="s">
        <v>782</v>
      </c>
      <c r="F5" s="120" t="s">
        <v>370</v>
      </c>
      <c r="G5" s="120" t="s">
        <v>590</v>
      </c>
      <c r="H5" s="121" t="s">
        <v>430</v>
      </c>
    </row>
    <row r="6" spans="1:11" x14ac:dyDescent="0.35">
      <c r="C6" s="112" t="str">
        <f>"Solde restant dû au 01/01/" &amp; 'Page de garde'!$G$7</f>
        <v>Solde restant dû au 01/01/2021</v>
      </c>
      <c r="D6" s="172"/>
      <c r="E6" s="256"/>
      <c r="F6" s="257"/>
      <c r="G6" s="257"/>
      <c r="H6" s="258"/>
    </row>
    <row r="7" spans="1:11" x14ac:dyDescent="0.35">
      <c r="C7" s="112" t="s">
        <v>783</v>
      </c>
      <c r="D7" s="216"/>
      <c r="E7" s="259" t="s">
        <v>725</v>
      </c>
      <c r="F7" s="260">
        <f>SUMIF(Recettes!$P$5:$P$504,961,Recettes!$N$5:$N$504)</f>
        <v>0</v>
      </c>
      <c r="G7" s="257"/>
      <c r="H7" s="234">
        <f>D7-F7</f>
        <v>0</v>
      </c>
      <c r="K7" s="4">
        <f>IF(OR(H7&lt;-1,H7&gt;1),1,0)</f>
        <v>0</v>
      </c>
    </row>
    <row r="8" spans="1:11" x14ac:dyDescent="0.35">
      <c r="C8" s="112" t="s">
        <v>784</v>
      </c>
      <c r="D8" s="216"/>
      <c r="E8" s="210" t="s">
        <v>726</v>
      </c>
      <c r="F8" s="234">
        <f>SUMIF(Dépenses!$P$5:$P$504,911,Dépenses!$N$5:$N$504)</f>
        <v>0</v>
      </c>
      <c r="G8" s="234">
        <f>IF(MID(CorrMech!C12,7,3)="911",CorrMech!E12,0)</f>
        <v>0</v>
      </c>
      <c r="H8" s="234">
        <f>D8-F8+G8</f>
        <v>0</v>
      </c>
      <c r="K8" s="4">
        <f>IF(OR(H8&lt;-1,H8&gt;1),1,0)</f>
        <v>0</v>
      </c>
    </row>
    <row r="9" spans="1:11" x14ac:dyDescent="0.35">
      <c r="C9" s="112" t="str">
        <f>"Solde restant dû au  31/12/" &amp; 'Page de garde'!$G$7</f>
        <v>Solde restant dû au  31/12/2021</v>
      </c>
      <c r="D9" s="234">
        <f>D6+D7-D8</f>
        <v>0</v>
      </c>
      <c r="E9" s="256"/>
      <c r="F9" s="257"/>
      <c r="G9" s="257"/>
      <c r="H9" s="258"/>
    </row>
    <row r="10" spans="1:11" x14ac:dyDescent="0.35">
      <c r="C10" s="112" t="s">
        <v>785</v>
      </c>
      <c r="D10" s="216"/>
      <c r="E10" s="210" t="s">
        <v>727</v>
      </c>
      <c r="F10" s="234">
        <f>SUMIF(Dépenses!$P$5:$P$504,211,Dépenses!$N$5:$N$504)</f>
        <v>0</v>
      </c>
      <c r="G10" s="234">
        <f>IF(MID(CorrMech!C13,7,3)="211",CorrMech!E13,0)</f>
        <v>0</v>
      </c>
      <c r="H10" s="234">
        <f>D10-F10+G10</f>
        <v>0</v>
      </c>
      <c r="K10" s="4">
        <f>IF(OR(H10&lt;-1,H10&gt;1),1,0)</f>
        <v>0</v>
      </c>
    </row>
    <row r="11" spans="1:11" ht="15" thickBot="1" x14ac:dyDescent="0.4"/>
    <row r="12" spans="1:11" ht="15" thickBot="1" x14ac:dyDescent="0.4">
      <c r="B12" s="208" t="s">
        <v>591</v>
      </c>
      <c r="C12" s="108"/>
    </row>
    <row r="13" spans="1:11" ht="15" thickBot="1" x14ac:dyDescent="0.4"/>
    <row r="14" spans="1:11" ht="15" thickBot="1" x14ac:dyDescent="0.4">
      <c r="D14" s="261" t="s">
        <v>781</v>
      </c>
    </row>
    <row r="15" spans="1:11" x14ac:dyDescent="0.35">
      <c r="C15" s="112" t="s">
        <v>786</v>
      </c>
      <c r="D15" s="233">
        <f>AVERAGE(D6,D9-D7)</f>
        <v>0</v>
      </c>
    </row>
    <row r="16" spans="1:11" x14ac:dyDescent="0.35">
      <c r="C16" s="112" t="s">
        <v>787</v>
      </c>
      <c r="D16" s="234">
        <f>D7*50%</f>
        <v>0</v>
      </c>
    </row>
    <row r="17" spans="3:11" x14ac:dyDescent="0.35">
      <c r="C17" s="252" t="s">
        <v>788</v>
      </c>
      <c r="D17" s="262">
        <f>SUM(D15:D16)</f>
        <v>0</v>
      </c>
    </row>
    <row r="18" spans="3:11" x14ac:dyDescent="0.35">
      <c r="C18" s="112" t="s">
        <v>785</v>
      </c>
      <c r="D18" s="234">
        <f>D10</f>
        <v>0</v>
      </c>
    </row>
    <row r="19" spans="3:11" x14ac:dyDescent="0.35">
      <c r="C19" s="252" t="s">
        <v>789</v>
      </c>
      <c r="D19" s="263">
        <f>IF(D17=0,0,D18/D17)</f>
        <v>0</v>
      </c>
      <c r="K19" s="4">
        <f>IF(D17=0,0,IF(OR(D19&lt;2%,D19&gt;7%),1,0))</f>
        <v>0</v>
      </c>
    </row>
  </sheetData>
  <sheetProtection password="EAD6" sheet="1" objects="1" scenarios="1"/>
  <phoneticPr fontId="0" type="noConversion"/>
  <conditionalFormatting sqref="H7:H8 H10">
    <cfRule type="cellIs" dxfId="4" priority="1" stopIfTrue="1" operator="notBetween">
      <formula>-1</formula>
      <formula>1</formula>
    </cfRule>
  </conditionalFormatting>
  <conditionalFormatting sqref="D19">
    <cfRule type="cellIs" dxfId="3" priority="2" stopIfTrue="1" operator="notBetween">
      <formula>0.02</formula>
      <formula>0.07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J58"/>
  <sheetViews>
    <sheetView showGridLines="0" zoomScale="85" workbookViewId="0">
      <selection activeCell="F14" sqref="F14:L48"/>
    </sheetView>
  </sheetViews>
  <sheetFormatPr baseColWidth="10" defaultColWidth="9.109375" defaultRowHeight="14.4" x14ac:dyDescent="0.35"/>
  <cols>
    <col min="1" max="1" width="4.44140625" style="4" customWidth="1"/>
    <col min="2" max="2" width="3.44140625" style="4" customWidth="1"/>
    <col min="3" max="3" width="18" style="4" customWidth="1"/>
    <col min="4" max="4" width="31.88671875" style="4" customWidth="1"/>
    <col min="5" max="5" width="12" style="4" customWidth="1"/>
    <col min="6" max="6" width="14.6640625" style="4" customWidth="1"/>
    <col min="7" max="9" width="9.109375" style="4" customWidth="1"/>
    <col min="10" max="10" width="2.109375" style="4" hidden="1" customWidth="1"/>
    <col min="11" max="16384" width="9.109375" style="4"/>
  </cols>
  <sheetData>
    <row r="1" spans="1:10" ht="15" thickBot="1" x14ac:dyDescent="0.4">
      <c r="A1" s="208" t="s">
        <v>592</v>
      </c>
      <c r="B1" s="107"/>
      <c r="C1" s="107"/>
      <c r="D1" s="107"/>
      <c r="E1" s="108"/>
      <c r="F1" s="274"/>
    </row>
    <row r="2" spans="1:10" ht="15" thickBot="1" x14ac:dyDescent="0.4"/>
    <row r="3" spans="1:10" ht="15" thickBot="1" x14ac:dyDescent="0.4">
      <c r="B3" s="208" t="s">
        <v>790</v>
      </c>
      <c r="C3" s="107"/>
      <c r="D3" s="107"/>
      <c r="E3" s="108"/>
    </row>
    <row r="4" spans="1:10" ht="15" thickBot="1" x14ac:dyDescent="0.4"/>
    <row r="5" spans="1:10" ht="15" thickBot="1" x14ac:dyDescent="0.4">
      <c r="E5" s="119" t="s">
        <v>440</v>
      </c>
      <c r="F5" s="121" t="s">
        <v>370</v>
      </c>
    </row>
    <row r="6" spans="1:10" x14ac:dyDescent="0.35">
      <c r="C6" s="235" t="s">
        <v>791</v>
      </c>
      <c r="D6" s="72"/>
      <c r="E6" s="67" t="s">
        <v>543</v>
      </c>
      <c r="F6" s="233">
        <f>SUMIF(Dépenses!C5:C504,"95701",Dépenses!N5:N504)</f>
        <v>0</v>
      </c>
    </row>
    <row r="7" spans="1:10" ht="15" thickBot="1" x14ac:dyDescent="0.4">
      <c r="C7" s="236" t="s">
        <v>792</v>
      </c>
      <c r="D7" s="80"/>
      <c r="E7" s="264" t="s">
        <v>544</v>
      </c>
      <c r="F7" s="260">
        <f>SUMIF(Recettes!C5:C504,"99751",Recettes!N5:N504)</f>
        <v>0</v>
      </c>
    </row>
    <row r="8" spans="1:10" ht="15" thickBot="1" x14ac:dyDescent="0.4">
      <c r="E8" s="115" t="s">
        <v>430</v>
      </c>
      <c r="F8" s="265">
        <f>F6-F7</f>
        <v>0</v>
      </c>
      <c r="J8" s="4">
        <f>IF(F8&lt;&gt;0,1,0)</f>
        <v>0</v>
      </c>
    </row>
    <row r="9" spans="1:10" ht="15" thickBot="1" x14ac:dyDescent="0.4"/>
    <row r="10" spans="1:10" ht="15" thickBot="1" x14ac:dyDescent="0.4">
      <c r="E10" s="119" t="str">
        <f>E5</f>
        <v>Code Ec.</v>
      </c>
      <c r="F10" s="121" t="str">
        <f>F5</f>
        <v>Budget</v>
      </c>
    </row>
    <row r="11" spans="1:10" x14ac:dyDescent="0.35">
      <c r="C11" s="235" t="s">
        <v>793</v>
      </c>
      <c r="D11" s="72"/>
      <c r="E11" s="67" t="s">
        <v>545</v>
      </c>
      <c r="F11" s="233">
        <f>SUMIF(Dépenses!C5:C504,"95651",Dépenses!N5:N504)</f>
        <v>0</v>
      </c>
    </row>
    <row r="12" spans="1:10" ht="15" thickBot="1" x14ac:dyDescent="0.4">
      <c r="C12" s="236" t="s">
        <v>794</v>
      </c>
      <c r="D12" s="80"/>
      <c r="E12" s="264" t="s">
        <v>546</v>
      </c>
      <c r="F12" s="260">
        <f>SUMIF(Recettes!C5:C504,"99601",Recettes!N5:N504)</f>
        <v>0</v>
      </c>
    </row>
    <row r="13" spans="1:10" ht="15" thickBot="1" x14ac:dyDescent="0.4">
      <c r="E13" s="115" t="str">
        <f>E8</f>
        <v>Différence</v>
      </c>
      <c r="F13" s="265">
        <f>F11-F12</f>
        <v>0</v>
      </c>
      <c r="J13" s="4">
        <f>IF(F13&lt;&gt;0,1,0)</f>
        <v>0</v>
      </c>
    </row>
    <row r="14" spans="1:10" ht="15" thickBot="1" x14ac:dyDescent="0.4"/>
    <row r="15" spans="1:10" ht="15" thickBot="1" x14ac:dyDescent="0.4">
      <c r="B15" s="208" t="s">
        <v>593</v>
      </c>
      <c r="C15" s="107"/>
      <c r="D15" s="107"/>
      <c r="E15" s="108"/>
    </row>
    <row r="16" spans="1:10" ht="15" thickBot="1" x14ac:dyDescent="0.4"/>
    <row r="17" spans="2:10" ht="15" thickBot="1" x14ac:dyDescent="0.4">
      <c r="E17" s="119" t="s">
        <v>440</v>
      </c>
      <c r="F17" s="121" t="s">
        <v>795</v>
      </c>
    </row>
    <row r="18" spans="2:10" x14ac:dyDescent="0.35">
      <c r="C18" s="235" t="str">
        <f>"Prélèvements en faveur du fds de réserves " &amp; 'Page de garde'!$G$7-2</f>
        <v>Prélèvements en faveur du fds de réserves 2019</v>
      </c>
      <c r="D18" s="72"/>
      <c r="E18" s="65" t="s">
        <v>547</v>
      </c>
      <c r="F18" s="233">
        <f>SUMIF(Dépenses!$C$5:$C$504,"95401",Dépenses!$G$5:$G$504)</f>
        <v>0</v>
      </c>
    </row>
    <row r="19" spans="2:10" x14ac:dyDescent="0.35">
      <c r="C19" s="266" t="str">
        <f>"Prélèvements sur fds de réserve " &amp; 'Page de garde'!$G$7-2</f>
        <v>Prélèvements sur fds de réserve 2019</v>
      </c>
      <c r="D19" s="76"/>
      <c r="E19" s="259" t="s">
        <v>548</v>
      </c>
      <c r="F19" s="260">
        <f>SUMIF(Recettes!$C$5:$C$504,"99401",Recettes!$G$5:$G$504)</f>
        <v>0</v>
      </c>
    </row>
    <row r="20" spans="2:10" x14ac:dyDescent="0.35">
      <c r="C20" s="250" t="str">
        <f>"Mutation des réserves " &amp; 'Page de garde'!$G$7-2</f>
        <v>Mutation des réserves 2019</v>
      </c>
      <c r="D20" s="251"/>
      <c r="E20" s="267"/>
      <c r="F20" s="262">
        <f>F18-F19</f>
        <v>0</v>
      </c>
      <c r="J20" s="4">
        <f>IF(F20&lt;0,1,0)</f>
        <v>0</v>
      </c>
    </row>
    <row r="21" spans="2:10" x14ac:dyDescent="0.35">
      <c r="C21" s="266" t="str">
        <f>"Prélèvement en faveur du fds de réserves " &amp; 'Page de garde'!$G$7-1</f>
        <v>Prélèvement en faveur du fds de réserves 2020</v>
      </c>
      <c r="D21" s="76"/>
      <c r="E21" s="65" t="s">
        <v>547</v>
      </c>
      <c r="F21" s="233">
        <f>SUMIF(Dépenses!$C$5:$C$504,"95401",Dépenses!$H$5:$H$504)</f>
        <v>0</v>
      </c>
    </row>
    <row r="22" spans="2:10" x14ac:dyDescent="0.35">
      <c r="C22" s="266" t="str">
        <f>"Prélèvements sur fds de réserves " &amp; 'Page de garde'!$G$7-1</f>
        <v>Prélèvements sur fds de réserves 2020</v>
      </c>
      <c r="D22" s="76"/>
      <c r="E22" s="259" t="s">
        <v>548</v>
      </c>
      <c r="F22" s="260">
        <f>SUMIF(Recettes!$C$5:$C$504,"99401",Recettes!$H$5:$H$504)</f>
        <v>0</v>
      </c>
    </row>
    <row r="23" spans="2:10" x14ac:dyDescent="0.35">
      <c r="C23" s="250" t="str">
        <f>"Mutation des  réserves " &amp; 'Page de garde'!$G$7-1</f>
        <v>Mutation des  réserves 2020</v>
      </c>
      <c r="D23" s="251"/>
      <c r="E23" s="267"/>
      <c r="F23" s="262">
        <f>F20+F21-F22</f>
        <v>0</v>
      </c>
      <c r="J23" s="4">
        <f>IF(F23&lt;0,1,0)</f>
        <v>0</v>
      </c>
    </row>
    <row r="24" spans="2:10" x14ac:dyDescent="0.35">
      <c r="C24" s="266" t="str">
        <f>"Prélèvement en faveur du fds de réserves " &amp; 'Page de garde'!$G$7</f>
        <v>Prélèvement en faveur du fds de réserves 2021</v>
      </c>
      <c r="D24" s="76"/>
      <c r="E24" s="65" t="s">
        <v>547</v>
      </c>
      <c r="F24" s="233">
        <f>SUMIF(Dépenses!$C$5:$C$504,"95401",Dépenses!$N$5:$N$504)</f>
        <v>0</v>
      </c>
    </row>
    <row r="25" spans="2:10" x14ac:dyDescent="0.35">
      <c r="C25" s="266" t="str">
        <f>"prélèvement sur fds de réserves " &amp; 'Page de garde'!$G$7</f>
        <v>prélèvement sur fds de réserves 2021</v>
      </c>
      <c r="D25" s="76"/>
      <c r="E25" s="259" t="s">
        <v>548</v>
      </c>
      <c r="F25" s="260">
        <f>SUMIF(Recettes!$C$5:$C$504,"99401",Recettes!$N$5:$N$504)</f>
        <v>0</v>
      </c>
    </row>
    <row r="26" spans="2:10" x14ac:dyDescent="0.35">
      <c r="C26" s="250" t="str">
        <f>"Mutation des réserves " &amp; 'Page de garde'!$G$7</f>
        <v>Mutation des réserves 2021</v>
      </c>
      <c r="D26" s="251"/>
      <c r="E26" s="267"/>
      <c r="F26" s="262">
        <f>F23+F24-F25</f>
        <v>0</v>
      </c>
      <c r="J26" s="4">
        <f>IF(F26&lt;0,1,0)</f>
        <v>0</v>
      </c>
    </row>
    <row r="27" spans="2:10" ht="15" thickBot="1" x14ac:dyDescent="0.4"/>
    <row r="28" spans="2:10" ht="15" thickBot="1" x14ac:dyDescent="0.4">
      <c r="B28" s="208" t="s">
        <v>594</v>
      </c>
      <c r="C28" s="107"/>
      <c r="D28" s="107"/>
      <c r="E28" s="108"/>
    </row>
    <row r="29" spans="2:10" ht="15" thickBot="1" x14ac:dyDescent="0.4"/>
    <row r="30" spans="2:10" ht="15" thickBot="1" x14ac:dyDescent="0.4">
      <c r="E30" s="119" t="s">
        <v>440</v>
      </c>
      <c r="F30" s="121" t="s">
        <v>795</v>
      </c>
    </row>
    <row r="31" spans="2:10" x14ac:dyDescent="0.35">
      <c r="C31" s="235" t="str">
        <f>"Provisions " &amp; 'Page de garde'!$G$7-2</f>
        <v>Provisions 2019</v>
      </c>
      <c r="D31" s="72"/>
      <c r="E31" s="210" t="s">
        <v>549</v>
      </c>
      <c r="F31" s="234">
        <f>SUMIF(Dépenses!$C$5:$C$504,"95801",Dépenses!$G$5:$G$504)</f>
        <v>0</v>
      </c>
    </row>
    <row r="32" spans="2:10" x14ac:dyDescent="0.35">
      <c r="C32" s="266" t="str">
        <f>"Utilisation des provisions " &amp; 'Page de garde'!$G$7-2</f>
        <v>Utilisation des provisions 2019</v>
      </c>
      <c r="D32" s="76"/>
      <c r="E32" s="210" t="s">
        <v>550</v>
      </c>
      <c r="F32" s="234">
        <f>SUMIF(Recettes!$C$5:$C$504,"99801",Recettes!$G$5:$G$504)</f>
        <v>0</v>
      </c>
    </row>
    <row r="33" spans="2:10" x14ac:dyDescent="0.35">
      <c r="C33" s="236" t="str">
        <f>"Reprise de provisons " &amp; 'Page de garde'!$G$7-2</f>
        <v>Reprise de provisons 2019</v>
      </c>
      <c r="D33" s="80"/>
      <c r="E33" s="210" t="s">
        <v>551</v>
      </c>
      <c r="F33" s="234">
        <f>SUMIF(Recettes!$C$5:$C$504,"99802",Recettes!$G$5:$G$504)</f>
        <v>0</v>
      </c>
    </row>
    <row r="34" spans="2:10" x14ac:dyDescent="0.35">
      <c r="C34" s="250" t="str">
        <f>"Mutations " &amp; 'Page de garde'!$G$7-2</f>
        <v>Mutations 2019</v>
      </c>
      <c r="D34" s="251"/>
      <c r="E34" s="268"/>
      <c r="F34" s="262">
        <f>F31-F32-F33</f>
        <v>0</v>
      </c>
      <c r="J34" s="4">
        <f>IF(F34&lt;0,1,0)</f>
        <v>0</v>
      </c>
    </row>
    <row r="35" spans="2:10" x14ac:dyDescent="0.35">
      <c r="C35" s="235" t="str">
        <f>"Provisions " &amp; 'Page de garde'!$G$7-1</f>
        <v>Provisions 2020</v>
      </c>
      <c r="D35" s="72"/>
      <c r="E35" s="210" t="s">
        <v>549</v>
      </c>
      <c r="F35" s="234">
        <f>SUMIF(Dépenses!$C$5:$C$504,"95801",Dépenses!$H$5:$H$504)</f>
        <v>0</v>
      </c>
    </row>
    <row r="36" spans="2:10" x14ac:dyDescent="0.35">
      <c r="C36" s="266" t="str">
        <f>"Utilisation des provisions " &amp; 'Page de garde'!$G$7-1</f>
        <v>Utilisation des provisions 2020</v>
      </c>
      <c r="D36" s="76"/>
      <c r="E36" s="210" t="s">
        <v>550</v>
      </c>
      <c r="F36" s="234">
        <f>SUMIF(Recettes!$C$5:$C$504,"99801",Recettes!$H$5:$H$504)</f>
        <v>0</v>
      </c>
    </row>
    <row r="37" spans="2:10" x14ac:dyDescent="0.35">
      <c r="C37" s="236" t="str">
        <f>"Reprise de provision " &amp; 'Page de garde'!$G$7-1</f>
        <v>Reprise de provision 2020</v>
      </c>
      <c r="D37" s="80"/>
      <c r="E37" s="210" t="s">
        <v>551</v>
      </c>
      <c r="F37" s="234">
        <f>SUMIF(Recettes!$C$5:$C$504,"99802",Recettes!$H$5:$H$504)</f>
        <v>0</v>
      </c>
    </row>
    <row r="38" spans="2:10" x14ac:dyDescent="0.35">
      <c r="C38" s="250" t="str">
        <f>"Mutations " &amp; 'Page de garde'!$G$7-1</f>
        <v>Mutations 2020</v>
      </c>
      <c r="D38" s="251"/>
      <c r="E38" s="268"/>
      <c r="F38" s="262">
        <f>F34+F35-F36-F37</f>
        <v>0</v>
      </c>
      <c r="J38" s="4">
        <f>IF(F38&lt;0,1,0)</f>
        <v>0</v>
      </c>
    </row>
    <row r="39" spans="2:10" x14ac:dyDescent="0.35">
      <c r="C39" s="235" t="str">
        <f>"Provisons " &amp; 'Page de garde'!$G$7</f>
        <v>Provisons 2021</v>
      </c>
      <c r="D39" s="72"/>
      <c r="E39" s="210" t="s">
        <v>549</v>
      </c>
      <c r="F39" s="234">
        <f>SUMIF(Dépenses!$C$5:$C$504,"95801",Dépenses!$N$5:$N$504)</f>
        <v>0</v>
      </c>
    </row>
    <row r="40" spans="2:10" x14ac:dyDescent="0.35">
      <c r="C40" s="266" t="str">
        <f>"Utilisation des provisions " &amp; 'Page de garde'!$G$7</f>
        <v>Utilisation des provisions 2021</v>
      </c>
      <c r="D40" s="76"/>
      <c r="E40" s="210" t="s">
        <v>550</v>
      </c>
      <c r="F40" s="234">
        <f>SUMIF(Recettes!$C$5:$C$504,"99801",Recettes!$N$5:$N$504)</f>
        <v>0</v>
      </c>
    </row>
    <row r="41" spans="2:10" x14ac:dyDescent="0.35">
      <c r="C41" s="236" t="str">
        <f>"Reprise de privions " &amp; 'Page de garde'!$G$7</f>
        <v>Reprise de privions 2021</v>
      </c>
      <c r="D41" s="80"/>
      <c r="E41" s="210" t="s">
        <v>551</v>
      </c>
      <c r="F41" s="234">
        <f>SUMIF(Recettes!$C$5:$C$504,"99802",Recettes!$N$5:$N$504)</f>
        <v>0</v>
      </c>
    </row>
    <row r="42" spans="2:10" x14ac:dyDescent="0.35">
      <c r="C42" s="250" t="str">
        <f>"Mutations " &amp; 'Page de garde'!$G$7</f>
        <v>Mutations 2021</v>
      </c>
      <c r="D42" s="251"/>
      <c r="E42" s="268"/>
      <c r="F42" s="262">
        <f>F38+F39-F40-F41</f>
        <v>0</v>
      </c>
      <c r="J42" s="4">
        <f>IF(F42&lt;0,1,0)</f>
        <v>0</v>
      </c>
    </row>
    <row r="43" spans="2:10" ht="15" thickBot="1" x14ac:dyDescent="0.4"/>
    <row r="44" spans="2:10" ht="15" thickBot="1" x14ac:dyDescent="0.4">
      <c r="B44" s="208" t="s">
        <v>595</v>
      </c>
      <c r="C44" s="107"/>
      <c r="D44" s="107"/>
      <c r="E44" s="108"/>
    </row>
    <row r="45" spans="2:10" ht="15" thickBot="1" x14ac:dyDescent="0.4"/>
    <row r="46" spans="2:10" ht="15" thickBot="1" x14ac:dyDescent="0.4">
      <c r="E46" s="119" t="s">
        <v>440</v>
      </c>
      <c r="F46" s="121" t="s">
        <v>795</v>
      </c>
    </row>
    <row r="47" spans="2:10" x14ac:dyDescent="0.35">
      <c r="C47" s="235" t="str">
        <f>"Prélèvement en faveur du fds de réserves " &amp; 'Page de garde'!$G$7-2 &amp; " (SO)"</f>
        <v>Prélèvement en faveur du fds de réserves 2019 (SO)</v>
      </c>
      <c r="D47" s="72"/>
      <c r="E47" s="210" t="s">
        <v>552</v>
      </c>
      <c r="F47" s="234">
        <f>SUMIF(Dépenses!$C$5:$C$504,"95501",Dépenses!$G$5:$G$504)</f>
        <v>0</v>
      </c>
    </row>
    <row r="48" spans="2:10" x14ac:dyDescent="0.35">
      <c r="C48" s="266" t="str">
        <f>"Prélèvement en faveur du fds de réserves " &amp; 'Page de garde'!$G$7-2 &amp; " (SE)"</f>
        <v>Prélèvement en faveur du fds de réserves 2019 (SE)</v>
      </c>
      <c r="D48" s="76"/>
      <c r="E48" s="210" t="s">
        <v>553</v>
      </c>
      <c r="F48" s="234">
        <f>SUMIF(Dépenses!$C$5:$C$504,"95551",Dépenses!$G$5:$G$504)</f>
        <v>0</v>
      </c>
    </row>
    <row r="49" spans="3:10" x14ac:dyDescent="0.35">
      <c r="C49" s="236" t="str">
        <f>"Prélèvements sur fds de réserve " &amp; 'Page de garde'!$G$7-2</f>
        <v>Prélèvements sur fds de réserve 2019</v>
      </c>
      <c r="D49" s="80"/>
      <c r="E49" s="210" t="s">
        <v>554</v>
      </c>
      <c r="F49" s="234">
        <f>SUMIF(Recettes!$C$5:$C$504,"99551",Recettes!$G$5:$G$504)</f>
        <v>0</v>
      </c>
    </row>
    <row r="50" spans="3:10" x14ac:dyDescent="0.35">
      <c r="C50" s="250" t="str">
        <f>"Mutation des réservess " &amp; 'Page de garde'!$G$7-2</f>
        <v>Mutation des réservess 2019</v>
      </c>
      <c r="D50" s="251"/>
      <c r="E50" s="268"/>
      <c r="F50" s="262">
        <f>F47+F48-F49</f>
        <v>0</v>
      </c>
      <c r="J50" s="4">
        <f>IF(F50&lt;0,1,0)</f>
        <v>0</v>
      </c>
    </row>
    <row r="51" spans="3:10" x14ac:dyDescent="0.35">
      <c r="C51" s="235" t="str">
        <f>"Prélèvement en faveur du fds réservess " &amp; 'Page de garde'!$G$7-1 &amp; " (SO)"</f>
        <v>Prélèvement en faveur du fds réservess 2020 (SO)</v>
      </c>
      <c r="D51" s="72"/>
      <c r="E51" s="210" t="s">
        <v>552</v>
      </c>
      <c r="F51" s="234">
        <f>SUMIF(Dépenses!$C$5:$C$504,"95501",Dépenses!$H$5:$H$504)</f>
        <v>0</v>
      </c>
    </row>
    <row r="52" spans="3:10" x14ac:dyDescent="0.35">
      <c r="C52" s="266" t="str">
        <f>"Prélèvement en faveur du fds de réserves " &amp; 'Page de garde'!$G$7-1 &amp; " (SE)"</f>
        <v>Prélèvement en faveur du fds de réserves 2020 (SE)</v>
      </c>
      <c r="D52" s="76"/>
      <c r="E52" s="210" t="s">
        <v>553</v>
      </c>
      <c r="F52" s="234">
        <f>SUMIF(Dépenses!$C$5:$C$504,"95551",Dépenses!$H$5:$H$504)</f>
        <v>0</v>
      </c>
    </row>
    <row r="53" spans="3:10" x14ac:dyDescent="0.35">
      <c r="C53" s="236" t="str">
        <f>"Prélèvement sur fds de réserve " &amp; 'Page de garde'!$G$7-1</f>
        <v>Prélèvement sur fds de réserve 2020</v>
      </c>
      <c r="D53" s="80"/>
      <c r="E53" s="210" t="s">
        <v>554</v>
      </c>
      <c r="F53" s="234">
        <f>SUMIF(Recettes!$C$5:$C$504,"99551",Recettes!$H$5:$H$504)</f>
        <v>0</v>
      </c>
    </row>
    <row r="54" spans="3:10" x14ac:dyDescent="0.35">
      <c r="C54" s="250" t="str">
        <f>"Mutation des réserves " &amp; 'Page de garde'!$G$7-1</f>
        <v>Mutation des réserves 2020</v>
      </c>
      <c r="D54" s="251"/>
      <c r="E54" s="268"/>
      <c r="F54" s="262">
        <f>F50+F51+F52-F53</f>
        <v>0</v>
      </c>
      <c r="J54" s="4">
        <f>IF(F54&lt;0,1,0)</f>
        <v>0</v>
      </c>
    </row>
    <row r="55" spans="3:10" x14ac:dyDescent="0.35">
      <c r="C55" s="235" t="str">
        <f>"Prélèvement en faveur du fds de réserves " &amp; 'Page de garde'!$G$7 &amp; " (SO)"</f>
        <v>Prélèvement en faveur du fds de réserves 2021 (SO)</v>
      </c>
      <c r="D55" s="72"/>
      <c r="E55" s="210" t="s">
        <v>552</v>
      </c>
      <c r="F55" s="234">
        <f>SUMIF(Dépenses!$C$5:$C$504,"95501",Dépenses!$N$5:$N$504)</f>
        <v>0</v>
      </c>
    </row>
    <row r="56" spans="3:10" x14ac:dyDescent="0.35">
      <c r="C56" s="266" t="str">
        <f>"Prélèvement en faveur du fds de réserves " &amp; 'Page de garde'!$G$7 &amp; " (SE)"</f>
        <v>Prélèvement en faveur du fds de réserves 2021 (SE)</v>
      </c>
      <c r="D56" s="76"/>
      <c r="E56" s="210" t="s">
        <v>553</v>
      </c>
      <c r="F56" s="234">
        <f>SUMIF(Dépenses!$C$5:$C$504,"95551",Dépenses!$N$5:$N$504)</f>
        <v>0</v>
      </c>
    </row>
    <row r="57" spans="3:10" x14ac:dyDescent="0.35">
      <c r="C57" s="236" t="str">
        <f>"Prélèvements sur fds de réserve " &amp; 'Page de garde'!$G$7</f>
        <v>Prélèvements sur fds de réserve 2021</v>
      </c>
      <c r="D57" s="80"/>
      <c r="E57" s="210" t="s">
        <v>554</v>
      </c>
      <c r="F57" s="234">
        <f>SUMIF(Recettes!$C$5:$C$504,"99551",Recettes!$N$5:$N$504)</f>
        <v>0</v>
      </c>
    </row>
    <row r="58" spans="3:10" x14ac:dyDescent="0.35">
      <c r="C58" s="250" t="str">
        <f>"Mutation des réserves  " &amp; 'Page de garde'!$G$7</f>
        <v>Mutation des réserves  2021</v>
      </c>
      <c r="D58" s="251"/>
      <c r="E58" s="268"/>
      <c r="F58" s="262">
        <f>F54+F55+F56-F57</f>
        <v>0</v>
      </c>
      <c r="J58" s="4">
        <f>IF(F58&lt;0,1,0)</f>
        <v>0</v>
      </c>
    </row>
  </sheetData>
  <sheetProtection password="850D" sheet="1" objects="1" scenarios="1"/>
  <phoneticPr fontId="0" type="noConversion"/>
  <conditionalFormatting sqref="F8 F13">
    <cfRule type="cellIs" dxfId="2" priority="1" stopIfTrue="1" operator="notEqual">
      <formula>0</formula>
    </cfRule>
  </conditionalFormatting>
  <conditionalFormatting sqref="F20 F23 F26 F34 F38 F42 F50 F54 F58">
    <cfRule type="cellIs" dxfId="1" priority="2" stopIfTrue="1" operator="lessThan">
      <formula>0</formula>
    </cfRule>
  </conditionalFormatting>
  <pageMargins left="0.75" right="0.75" top="1" bottom="1" header="0.5" footer="0.5"/>
  <pageSetup paperSize="9" orientation="portrait" horizontalDpi="300" verticalDpi="300" r:id="rId1"/>
  <headerFooter alignWithMargins="0">
    <oddFooter>&amp;R&amp;A</oddFooter>
  </headerFooter>
  <rowBreaks count="1" manualBreakCount="1">
    <brk id="43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/>
  <dimension ref="A1:K11"/>
  <sheetViews>
    <sheetView showGridLines="0" zoomScale="85" workbookViewId="0">
      <selection activeCell="F14" sqref="F14:L48"/>
    </sheetView>
  </sheetViews>
  <sheetFormatPr baseColWidth="10" defaultColWidth="9.109375" defaultRowHeight="14.4" x14ac:dyDescent="0.35"/>
  <cols>
    <col min="1" max="1" width="3.44140625" style="4" customWidth="1"/>
    <col min="2" max="2" width="14.44140625" style="4" bestFit="1" customWidth="1"/>
    <col min="3" max="3" width="42.6640625" style="4" customWidth="1"/>
    <col min="4" max="4" width="16.6640625" style="4" customWidth="1"/>
    <col min="5" max="10" width="9.109375" style="4" customWidth="1"/>
    <col min="11" max="11" width="2.109375" style="4" hidden="1" customWidth="1"/>
    <col min="12" max="16384" width="9.109375" style="4"/>
  </cols>
  <sheetData>
    <row r="1" spans="1:11" ht="15" thickBot="1" x14ac:dyDescent="0.4">
      <c r="A1" s="208" t="s">
        <v>397</v>
      </c>
      <c r="B1" s="107"/>
      <c r="C1" s="108"/>
      <c r="D1" s="274"/>
      <c r="E1" s="75"/>
    </row>
    <row r="3" spans="1:11" x14ac:dyDescent="0.35">
      <c r="B3" s="4" t="s">
        <v>796</v>
      </c>
    </row>
    <row r="4" spans="1:11" x14ac:dyDescent="0.35">
      <c r="B4" s="4" t="s">
        <v>797</v>
      </c>
    </row>
    <row r="5" spans="1:11" x14ac:dyDescent="0.35">
      <c r="B5" s="4" t="s">
        <v>798</v>
      </c>
    </row>
    <row r="6" spans="1:11" ht="15" thickBot="1" x14ac:dyDescent="0.4"/>
    <row r="7" spans="1:11" ht="15" thickBot="1" x14ac:dyDescent="0.4">
      <c r="B7" s="119" t="s">
        <v>542</v>
      </c>
      <c r="C7" s="120" t="s">
        <v>417</v>
      </c>
      <c r="D7" s="121" t="s">
        <v>370</v>
      </c>
    </row>
    <row r="8" spans="1:11" x14ac:dyDescent="0.35">
      <c r="B8" s="65">
        <v>731</v>
      </c>
      <c r="C8" s="118" t="s">
        <v>799</v>
      </c>
      <c r="D8" s="233">
        <f>SUMIF(Dépenses!$P$5:$P$504,B8,Dépenses!$N$5:$N$504)</f>
        <v>0</v>
      </c>
      <c r="K8" s="4">
        <f>IF(D8&lt;&gt;0,1,0)</f>
        <v>0</v>
      </c>
    </row>
    <row r="9" spans="1:11" x14ac:dyDescent="0.35">
      <c r="B9" s="210">
        <v>732</v>
      </c>
      <c r="C9" s="112" t="s">
        <v>596</v>
      </c>
      <c r="D9" s="234">
        <f>SUMIF(Dépenses!$P$5:$P$504,B9,Dépenses!$N$5:$N$504)</f>
        <v>0</v>
      </c>
      <c r="K9" s="4">
        <f>IF(D9&lt;&gt;0,1,0)</f>
        <v>0</v>
      </c>
    </row>
    <row r="10" spans="1:11" x14ac:dyDescent="0.35">
      <c r="B10" s="210">
        <v>734</v>
      </c>
      <c r="C10" s="112" t="s">
        <v>800</v>
      </c>
      <c r="D10" s="234">
        <f>SUMIF(Dépenses!$P$5:$P$504,B10,Dépenses!$N$5:$N$504)</f>
        <v>0</v>
      </c>
      <c r="K10" s="4">
        <f>IF(D10&lt;&gt;0,1,0)</f>
        <v>0</v>
      </c>
    </row>
    <row r="11" spans="1:11" x14ac:dyDescent="0.35">
      <c r="B11" s="210">
        <v>735</v>
      </c>
      <c r="C11" s="112" t="s">
        <v>597</v>
      </c>
      <c r="D11" s="234">
        <f>SUMIF(Dépenses!$P$5:$P$504,B11,Dépenses!$N$5:$N$504)</f>
        <v>0</v>
      </c>
      <c r="K11" s="4">
        <f>IF(D11&lt;&gt;0,1,0)</f>
        <v>0</v>
      </c>
    </row>
  </sheetData>
  <sheetProtection password="CF99" sheet="1" objects="1" scenarios="1"/>
  <phoneticPr fontId="0" type="noConversion"/>
  <conditionalFormatting sqref="D8:D11">
    <cfRule type="cellIs" dxfId="0" priority="1" stopIfTrue="1" operator="notEqual">
      <formula>0</formula>
    </cfRule>
  </conditionalFormatting>
  <pageMargins left="0.75" right="0.75" top="1" bottom="1" header="0.5" footer="0.5"/>
  <pageSetup paperSize="9" orientation="portrait" horizontalDpi="300" verticalDpi="300" r:id="rId1"/>
  <headerFooter alignWithMargins="0">
    <oddFooter>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3:C18"/>
  <sheetViews>
    <sheetView zoomScale="85" workbookViewId="0">
      <selection activeCell="E18" sqref="E18"/>
    </sheetView>
  </sheetViews>
  <sheetFormatPr baseColWidth="10" defaultColWidth="9.109375" defaultRowHeight="12.6" x14ac:dyDescent="0.25"/>
  <sheetData>
    <row r="3" spans="1:3" x14ac:dyDescent="0.25">
      <c r="A3" t="s">
        <v>556</v>
      </c>
      <c r="B3" t="s">
        <v>528</v>
      </c>
      <c r="C3" t="s">
        <v>530</v>
      </c>
    </row>
    <row r="4" spans="1:3" x14ac:dyDescent="0.25">
      <c r="A4">
        <f>'Page de garde'!G7</f>
        <v>2021</v>
      </c>
      <c r="B4">
        <v>45000</v>
      </c>
      <c r="C4" t="s">
        <v>380</v>
      </c>
    </row>
    <row r="5" spans="1:3" x14ac:dyDescent="0.25">
      <c r="A5">
        <f>A4-1</f>
        <v>2020</v>
      </c>
      <c r="B5">
        <v>50000</v>
      </c>
      <c r="C5" t="s">
        <v>382</v>
      </c>
    </row>
    <row r="6" spans="1:3" x14ac:dyDescent="0.25">
      <c r="A6">
        <f t="shared" ref="A6:A18" si="0">A5-1</f>
        <v>2019</v>
      </c>
      <c r="B6">
        <v>60000</v>
      </c>
    </row>
    <row r="7" spans="1:3" x14ac:dyDescent="0.25">
      <c r="A7">
        <f t="shared" si="0"/>
        <v>2018</v>
      </c>
      <c r="B7">
        <v>65000</v>
      </c>
    </row>
    <row r="8" spans="1:3" x14ac:dyDescent="0.25">
      <c r="A8">
        <f t="shared" si="0"/>
        <v>2017</v>
      </c>
    </row>
    <row r="9" spans="1:3" x14ac:dyDescent="0.25">
      <c r="A9">
        <f t="shared" si="0"/>
        <v>2016</v>
      </c>
    </row>
    <row r="10" spans="1:3" x14ac:dyDescent="0.25">
      <c r="A10">
        <f t="shared" si="0"/>
        <v>2015</v>
      </c>
    </row>
    <row r="11" spans="1:3" x14ac:dyDescent="0.25">
      <c r="A11">
        <f t="shared" si="0"/>
        <v>2014</v>
      </c>
    </row>
    <row r="12" spans="1:3" x14ac:dyDescent="0.25">
      <c r="A12">
        <f t="shared" si="0"/>
        <v>2013</v>
      </c>
    </row>
    <row r="13" spans="1:3" x14ac:dyDescent="0.25">
      <c r="A13">
        <f t="shared" si="0"/>
        <v>2012</v>
      </c>
    </row>
    <row r="14" spans="1:3" x14ac:dyDescent="0.25">
      <c r="A14">
        <f t="shared" si="0"/>
        <v>2011</v>
      </c>
    </row>
    <row r="15" spans="1:3" x14ac:dyDescent="0.25">
      <c r="A15">
        <f t="shared" si="0"/>
        <v>2010</v>
      </c>
    </row>
    <row r="16" spans="1:3" x14ac:dyDescent="0.25">
      <c r="A16">
        <f t="shared" si="0"/>
        <v>2009</v>
      </c>
    </row>
    <row r="17" spans="1:1" x14ac:dyDescent="0.25">
      <c r="A17">
        <f t="shared" si="0"/>
        <v>2008</v>
      </c>
    </row>
    <row r="18" spans="1:1" x14ac:dyDescent="0.25">
      <c r="A18">
        <f t="shared" si="0"/>
        <v>2007</v>
      </c>
    </row>
  </sheetData>
  <phoneticPr fontId="0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6"/>
  <dimension ref="A1:C677"/>
  <sheetViews>
    <sheetView topLeftCell="A632" zoomScale="85" workbookViewId="0">
      <selection activeCell="P661" sqref="P661"/>
    </sheetView>
  </sheetViews>
  <sheetFormatPr baseColWidth="10" defaultColWidth="9.109375" defaultRowHeight="14.4" x14ac:dyDescent="0.35"/>
  <cols>
    <col min="1" max="1" width="8.88671875" style="2" customWidth="1"/>
    <col min="2" max="2" width="39.5546875" style="2" customWidth="1"/>
    <col min="3" max="3" width="15.109375" style="2" customWidth="1"/>
    <col min="4" max="16384" width="9.109375" style="2"/>
  </cols>
  <sheetData>
    <row r="1" spans="1:3" s="1" customFormat="1" ht="43.2" x14ac:dyDescent="0.35">
      <c r="A1" s="1" t="s">
        <v>721</v>
      </c>
      <c r="B1" s="1" t="s">
        <v>722</v>
      </c>
      <c r="C1" s="1" t="s">
        <v>723</v>
      </c>
    </row>
    <row r="2" spans="1:3" x14ac:dyDescent="0.35">
      <c r="A2" s="2">
        <v>10601</v>
      </c>
      <c r="B2" s="2" t="s">
        <v>600</v>
      </c>
      <c r="C2" s="2">
        <v>60</v>
      </c>
    </row>
    <row r="3" spans="1:3" x14ac:dyDescent="0.35">
      <c r="A3" s="2">
        <v>10602</v>
      </c>
      <c r="B3" s="2" t="s">
        <v>601</v>
      </c>
      <c r="C3" s="2">
        <v>60</v>
      </c>
    </row>
    <row r="4" spans="1:3" x14ac:dyDescent="0.35">
      <c r="A4" s="2">
        <v>11101</v>
      </c>
      <c r="B4" s="2" t="s">
        <v>461</v>
      </c>
      <c r="C4" s="2">
        <v>70</v>
      </c>
    </row>
    <row r="5" spans="1:3" x14ac:dyDescent="0.35">
      <c r="A5" s="2">
        <v>11102</v>
      </c>
      <c r="B5" s="2" t="s">
        <v>462</v>
      </c>
      <c r="C5" s="2">
        <v>70</v>
      </c>
    </row>
    <row r="6" spans="1:3" x14ac:dyDescent="0.35">
      <c r="A6" s="2">
        <v>11108</v>
      </c>
      <c r="B6" s="2" t="s">
        <v>463</v>
      </c>
      <c r="C6" s="2">
        <v>70</v>
      </c>
    </row>
    <row r="7" spans="1:3" x14ac:dyDescent="0.35">
      <c r="A7" s="2">
        <v>11109</v>
      </c>
      <c r="B7" s="2" t="s">
        <v>464</v>
      </c>
      <c r="C7" s="2">
        <v>70</v>
      </c>
    </row>
    <row r="8" spans="1:3" x14ac:dyDescent="0.35">
      <c r="A8" s="2">
        <v>11111</v>
      </c>
      <c r="B8" s="2" t="s">
        <v>602</v>
      </c>
      <c r="C8" s="2">
        <v>70</v>
      </c>
    </row>
    <row r="9" spans="1:3" x14ac:dyDescent="0.35">
      <c r="A9" s="2">
        <v>11112</v>
      </c>
      <c r="B9" s="2" t="s">
        <v>603</v>
      </c>
      <c r="C9" s="2">
        <v>70</v>
      </c>
    </row>
    <row r="10" spans="1:3" x14ac:dyDescent="0.35">
      <c r="A10" s="2">
        <v>11119</v>
      </c>
      <c r="B10" s="2" t="s">
        <v>604</v>
      </c>
      <c r="C10" s="2">
        <v>70</v>
      </c>
    </row>
    <row r="11" spans="1:3" x14ac:dyDescent="0.35">
      <c r="A11" s="2">
        <v>11121</v>
      </c>
      <c r="B11" s="2" t="s">
        <v>605</v>
      </c>
      <c r="C11" s="2">
        <v>70</v>
      </c>
    </row>
    <row r="12" spans="1:3" x14ac:dyDescent="0.35">
      <c r="A12" s="2">
        <v>11122</v>
      </c>
      <c r="B12" s="2" t="s">
        <v>606</v>
      </c>
      <c r="C12" s="2">
        <v>70</v>
      </c>
    </row>
    <row r="13" spans="1:3" x14ac:dyDescent="0.35">
      <c r="A13" s="2">
        <v>11201</v>
      </c>
      <c r="B13" s="2" t="s">
        <v>465</v>
      </c>
      <c r="C13" s="2">
        <v>70</v>
      </c>
    </row>
    <row r="14" spans="1:3" x14ac:dyDescent="0.35">
      <c r="A14" s="2">
        <v>11202</v>
      </c>
      <c r="B14" s="2" t="s">
        <v>466</v>
      </c>
      <c r="C14" s="2">
        <v>70</v>
      </c>
    </row>
    <row r="15" spans="1:3" x14ac:dyDescent="0.35">
      <c r="A15" s="2">
        <v>11212</v>
      </c>
      <c r="B15" s="2" t="s">
        <v>607</v>
      </c>
      <c r="C15" s="2">
        <v>70</v>
      </c>
    </row>
    <row r="16" spans="1:3" x14ac:dyDescent="0.35">
      <c r="A16" s="2">
        <v>11221</v>
      </c>
      <c r="B16" s="2" t="s">
        <v>608</v>
      </c>
      <c r="C16" s="2">
        <v>70</v>
      </c>
    </row>
    <row r="17" spans="1:3" x14ac:dyDescent="0.35">
      <c r="A17" s="2">
        <v>11248</v>
      </c>
      <c r="B17" s="2" t="s">
        <v>609</v>
      </c>
      <c r="C17" s="2">
        <v>70</v>
      </c>
    </row>
    <row r="18" spans="1:3" x14ac:dyDescent="0.35">
      <c r="A18" s="2">
        <v>11301</v>
      </c>
      <c r="B18" s="2" t="s">
        <v>467</v>
      </c>
      <c r="C18" s="2">
        <v>70</v>
      </c>
    </row>
    <row r="19" spans="1:3" x14ac:dyDescent="0.35">
      <c r="A19" s="2">
        <v>11302</v>
      </c>
      <c r="B19" s="2" t="s">
        <v>468</v>
      </c>
      <c r="C19" s="2">
        <v>70</v>
      </c>
    </row>
    <row r="20" spans="1:3" x14ac:dyDescent="0.35">
      <c r="A20" s="2">
        <v>11308</v>
      </c>
      <c r="B20" s="2" t="s">
        <v>610</v>
      </c>
      <c r="C20" s="2">
        <v>70</v>
      </c>
    </row>
    <row r="21" spans="1:3" x14ac:dyDescent="0.35">
      <c r="A21" s="2">
        <v>11309</v>
      </c>
      <c r="B21" s="2" t="s">
        <v>611</v>
      </c>
      <c r="C21" s="2">
        <v>70</v>
      </c>
    </row>
    <row r="22" spans="1:3" x14ac:dyDescent="0.35">
      <c r="A22" s="2">
        <v>11312</v>
      </c>
      <c r="B22" s="2" t="s">
        <v>612</v>
      </c>
      <c r="C22" s="2">
        <v>70</v>
      </c>
    </row>
    <row r="23" spans="1:3" x14ac:dyDescent="0.35">
      <c r="A23" s="2">
        <v>11319</v>
      </c>
      <c r="B23" s="2" t="s">
        <v>613</v>
      </c>
      <c r="C23" s="2">
        <v>70</v>
      </c>
    </row>
    <row r="24" spans="1:3" x14ac:dyDescent="0.35">
      <c r="A24" s="2">
        <v>11321</v>
      </c>
      <c r="B24" s="2" t="s">
        <v>614</v>
      </c>
      <c r="C24" s="2">
        <v>70</v>
      </c>
    </row>
    <row r="25" spans="1:3" x14ac:dyDescent="0.35">
      <c r="A25" s="2">
        <v>11322</v>
      </c>
      <c r="B25" s="2" t="s">
        <v>615</v>
      </c>
      <c r="C25" s="2">
        <v>70</v>
      </c>
    </row>
    <row r="26" spans="1:3" x14ac:dyDescent="0.35">
      <c r="A26" s="2">
        <v>11331</v>
      </c>
      <c r="B26" s="272" t="s">
        <v>616</v>
      </c>
      <c r="C26" s="2">
        <v>70</v>
      </c>
    </row>
    <row r="27" spans="1:3" x14ac:dyDescent="0.35">
      <c r="A27" s="2">
        <v>11332</v>
      </c>
      <c r="B27" s="2" t="s">
        <v>617</v>
      </c>
      <c r="C27" s="2">
        <v>70</v>
      </c>
    </row>
    <row r="28" spans="1:3" x14ac:dyDescent="0.35">
      <c r="A28" s="2">
        <v>11348</v>
      </c>
      <c r="B28" s="2" t="s">
        <v>618</v>
      </c>
      <c r="C28" s="2">
        <v>70</v>
      </c>
    </row>
    <row r="29" spans="1:3" x14ac:dyDescent="0.35">
      <c r="A29" s="2">
        <v>11501</v>
      </c>
      <c r="B29" s="2" t="s">
        <v>619</v>
      </c>
      <c r="C29" s="2">
        <v>70</v>
      </c>
    </row>
    <row r="30" spans="1:3" x14ac:dyDescent="0.35">
      <c r="A30" s="2">
        <v>11502</v>
      </c>
      <c r="B30" s="2" t="s">
        <v>620</v>
      </c>
      <c r="C30" s="2">
        <v>70</v>
      </c>
    </row>
    <row r="31" spans="1:3" x14ac:dyDescent="0.35">
      <c r="A31" s="2">
        <v>11512</v>
      </c>
      <c r="B31" s="2" t="s">
        <v>621</v>
      </c>
      <c r="C31" s="2">
        <v>70</v>
      </c>
    </row>
    <row r="32" spans="1:3" x14ac:dyDescent="0.35">
      <c r="A32" s="2">
        <v>11521</v>
      </c>
      <c r="B32" s="2" t="s">
        <v>622</v>
      </c>
      <c r="C32" s="2">
        <v>70</v>
      </c>
    </row>
    <row r="33" spans="1:3" x14ac:dyDescent="0.35">
      <c r="A33" s="2">
        <v>11541</v>
      </c>
      <c r="B33" s="2" t="s">
        <v>623</v>
      </c>
      <c r="C33" s="2">
        <v>70</v>
      </c>
    </row>
    <row r="34" spans="1:3" x14ac:dyDescent="0.35">
      <c r="A34" s="2">
        <v>11542</v>
      </c>
      <c r="B34" s="2" t="s">
        <v>624</v>
      </c>
      <c r="C34" s="2">
        <v>70</v>
      </c>
    </row>
    <row r="35" spans="1:3" x14ac:dyDescent="0.35">
      <c r="A35" s="2">
        <v>11543</v>
      </c>
      <c r="B35" s="2" t="s">
        <v>625</v>
      </c>
      <c r="C35" s="2">
        <v>70</v>
      </c>
    </row>
    <row r="36" spans="1:3" x14ac:dyDescent="0.35">
      <c r="A36" s="2">
        <v>11601</v>
      </c>
      <c r="B36" s="2" t="s">
        <v>626</v>
      </c>
      <c r="C36" s="2">
        <v>70</v>
      </c>
    </row>
    <row r="37" spans="1:3" x14ac:dyDescent="0.35">
      <c r="A37" s="2">
        <v>11602</v>
      </c>
      <c r="B37" s="2" t="s">
        <v>626</v>
      </c>
      <c r="C37" s="2">
        <v>70</v>
      </c>
    </row>
    <row r="38" spans="1:3" x14ac:dyDescent="0.35">
      <c r="A38" s="2">
        <v>11701</v>
      </c>
      <c r="B38" s="2" t="s">
        <v>469</v>
      </c>
      <c r="C38" s="2">
        <v>70</v>
      </c>
    </row>
    <row r="39" spans="1:3" x14ac:dyDescent="0.35">
      <c r="A39" s="2">
        <v>11702</v>
      </c>
      <c r="B39" s="2" t="s">
        <v>627</v>
      </c>
      <c r="C39" s="2">
        <v>70</v>
      </c>
    </row>
    <row r="40" spans="1:3" x14ac:dyDescent="0.35">
      <c r="A40" s="2">
        <v>11801</v>
      </c>
      <c r="B40" s="2" t="s">
        <v>470</v>
      </c>
      <c r="C40" s="2">
        <v>70</v>
      </c>
    </row>
    <row r="41" spans="1:3" x14ac:dyDescent="0.35">
      <c r="A41" s="2">
        <v>11802</v>
      </c>
      <c r="B41" s="2" t="s">
        <v>628</v>
      </c>
      <c r="C41" s="2">
        <v>70</v>
      </c>
    </row>
    <row r="42" spans="1:3" x14ac:dyDescent="0.35">
      <c r="A42" s="2">
        <v>12101</v>
      </c>
      <c r="B42" s="2" t="s">
        <v>498</v>
      </c>
      <c r="C42" s="2">
        <v>71</v>
      </c>
    </row>
    <row r="43" spans="1:3" x14ac:dyDescent="0.35">
      <c r="A43" s="2">
        <v>12102</v>
      </c>
      <c r="B43" s="2" t="s">
        <v>629</v>
      </c>
      <c r="C43" s="2">
        <v>71</v>
      </c>
    </row>
    <row r="44" spans="1:3" x14ac:dyDescent="0.35">
      <c r="A44" s="2">
        <v>12103</v>
      </c>
      <c r="B44" s="2" t="s">
        <v>471</v>
      </c>
      <c r="C44" s="2">
        <v>71</v>
      </c>
    </row>
    <row r="45" spans="1:3" x14ac:dyDescent="0.35">
      <c r="A45" s="2">
        <v>12148</v>
      </c>
      <c r="B45" s="2" t="s">
        <v>472</v>
      </c>
      <c r="C45" s="2">
        <v>71</v>
      </c>
    </row>
    <row r="46" spans="1:3" x14ac:dyDescent="0.35">
      <c r="A46" s="2">
        <v>12201</v>
      </c>
      <c r="B46" s="2" t="s">
        <v>630</v>
      </c>
      <c r="C46" s="2">
        <v>71</v>
      </c>
    </row>
    <row r="47" spans="1:3" x14ac:dyDescent="0.35">
      <c r="A47" s="2">
        <v>12202</v>
      </c>
      <c r="B47" s="2" t="s">
        <v>631</v>
      </c>
      <c r="C47" s="2">
        <v>71</v>
      </c>
    </row>
    <row r="48" spans="1:3" x14ac:dyDescent="0.35">
      <c r="A48" s="2">
        <v>12203</v>
      </c>
      <c r="B48" s="2" t="s">
        <v>632</v>
      </c>
      <c r="C48" s="2">
        <v>71</v>
      </c>
    </row>
    <row r="49" spans="1:3" x14ac:dyDescent="0.35">
      <c r="A49" s="2">
        <v>12204</v>
      </c>
      <c r="B49" s="2" t="s">
        <v>633</v>
      </c>
      <c r="C49" s="2">
        <v>71</v>
      </c>
    </row>
    <row r="50" spans="1:3" x14ac:dyDescent="0.35">
      <c r="A50" s="2">
        <v>12205</v>
      </c>
      <c r="B50" s="2" t="s">
        <v>634</v>
      </c>
      <c r="C50" s="2">
        <v>71</v>
      </c>
    </row>
    <row r="51" spans="1:3" x14ac:dyDescent="0.35">
      <c r="A51" s="2">
        <v>12206</v>
      </c>
      <c r="B51" s="2" t="s">
        <v>635</v>
      </c>
      <c r="C51" s="2">
        <v>71</v>
      </c>
    </row>
    <row r="52" spans="1:3" x14ac:dyDescent="0.35">
      <c r="A52" s="2">
        <v>12248</v>
      </c>
      <c r="B52" s="2" t="s">
        <v>636</v>
      </c>
      <c r="C52" s="2">
        <v>71</v>
      </c>
    </row>
    <row r="53" spans="1:3" x14ac:dyDescent="0.35">
      <c r="A53" s="2">
        <v>12301</v>
      </c>
      <c r="B53" s="2" t="s">
        <v>481</v>
      </c>
      <c r="C53" s="2">
        <v>71</v>
      </c>
    </row>
    <row r="54" spans="1:3" x14ac:dyDescent="0.35">
      <c r="A54" s="2">
        <v>12302</v>
      </c>
      <c r="B54" s="2" t="s">
        <v>499</v>
      </c>
      <c r="C54" s="2">
        <v>71</v>
      </c>
    </row>
    <row r="55" spans="1:3" x14ac:dyDescent="0.35">
      <c r="A55" s="2">
        <v>12303</v>
      </c>
      <c r="B55" s="2" t="s">
        <v>637</v>
      </c>
      <c r="C55" s="2">
        <v>71</v>
      </c>
    </row>
    <row r="56" spans="1:3" x14ac:dyDescent="0.35">
      <c r="A56" s="2">
        <v>12304</v>
      </c>
      <c r="B56" s="2" t="s">
        <v>638</v>
      </c>
      <c r="C56" s="2">
        <v>71</v>
      </c>
    </row>
    <row r="57" spans="1:3" x14ac:dyDescent="0.35">
      <c r="A57" s="2">
        <v>12306</v>
      </c>
      <c r="B57" s="2" t="s">
        <v>639</v>
      </c>
      <c r="C57" s="2">
        <v>71</v>
      </c>
    </row>
    <row r="58" spans="1:3" x14ac:dyDescent="0.35">
      <c r="A58" s="2">
        <v>12307</v>
      </c>
      <c r="B58" s="2" t="s">
        <v>500</v>
      </c>
      <c r="C58" s="2">
        <v>71</v>
      </c>
    </row>
    <row r="59" spans="1:3" x14ac:dyDescent="0.35">
      <c r="A59" s="2">
        <v>12311</v>
      </c>
      <c r="B59" s="2" t="s">
        <v>501</v>
      </c>
      <c r="C59" s="2">
        <v>71</v>
      </c>
    </row>
    <row r="60" spans="1:3" x14ac:dyDescent="0.35">
      <c r="A60" s="2">
        <v>12312</v>
      </c>
      <c r="B60" s="2" t="s">
        <v>502</v>
      </c>
      <c r="C60" s="2">
        <v>71</v>
      </c>
    </row>
    <row r="61" spans="1:3" x14ac:dyDescent="0.35">
      <c r="A61" s="2">
        <v>12313</v>
      </c>
      <c r="B61" s="2" t="s">
        <v>503</v>
      </c>
      <c r="C61" s="2">
        <v>71</v>
      </c>
    </row>
    <row r="62" spans="1:3" x14ac:dyDescent="0.35">
      <c r="A62" s="2">
        <v>12314</v>
      </c>
      <c r="B62" s="2" t="s">
        <v>504</v>
      </c>
      <c r="C62" s="2">
        <v>71</v>
      </c>
    </row>
    <row r="63" spans="1:3" x14ac:dyDescent="0.35">
      <c r="A63" s="2">
        <v>12315</v>
      </c>
      <c r="B63" s="2" t="s">
        <v>640</v>
      </c>
      <c r="C63" s="2">
        <v>71</v>
      </c>
    </row>
    <row r="64" spans="1:3" x14ac:dyDescent="0.35">
      <c r="A64" s="2">
        <v>12316</v>
      </c>
      <c r="B64" s="2" t="s">
        <v>641</v>
      </c>
      <c r="C64" s="2">
        <v>71</v>
      </c>
    </row>
    <row r="65" spans="1:3" x14ac:dyDescent="0.35">
      <c r="A65" s="2">
        <v>12317</v>
      </c>
      <c r="B65" s="2" t="s">
        <v>505</v>
      </c>
      <c r="C65" s="2">
        <v>71</v>
      </c>
    </row>
    <row r="66" spans="1:3" x14ac:dyDescent="0.35">
      <c r="A66" s="2">
        <v>12318</v>
      </c>
      <c r="B66" s="2" t="s">
        <v>642</v>
      </c>
      <c r="C66" s="2">
        <v>71</v>
      </c>
    </row>
    <row r="67" spans="1:3" x14ac:dyDescent="0.35">
      <c r="A67" s="2">
        <v>12319</v>
      </c>
      <c r="B67" s="2" t="s">
        <v>506</v>
      </c>
      <c r="C67" s="2">
        <v>71</v>
      </c>
    </row>
    <row r="68" spans="1:3" x14ac:dyDescent="0.35">
      <c r="A68" s="2">
        <v>12320</v>
      </c>
      <c r="B68" s="2" t="s">
        <v>643</v>
      </c>
      <c r="C68" s="2">
        <v>71</v>
      </c>
    </row>
    <row r="69" spans="1:3" x14ac:dyDescent="0.35">
      <c r="A69" s="2">
        <v>12348</v>
      </c>
      <c r="B69" s="2" t="s">
        <v>644</v>
      </c>
      <c r="C69" s="2">
        <v>71</v>
      </c>
    </row>
    <row r="70" spans="1:3" x14ac:dyDescent="0.35">
      <c r="A70" s="2">
        <v>12401</v>
      </c>
      <c r="B70" s="2" t="s">
        <v>645</v>
      </c>
      <c r="C70" s="2">
        <v>71</v>
      </c>
    </row>
    <row r="71" spans="1:3" x14ac:dyDescent="0.35">
      <c r="A71" s="2">
        <v>12402</v>
      </c>
      <c r="B71" s="2" t="s">
        <v>507</v>
      </c>
      <c r="C71" s="2">
        <v>71</v>
      </c>
    </row>
    <row r="72" spans="1:3" x14ac:dyDescent="0.35">
      <c r="A72" s="2">
        <v>12403</v>
      </c>
      <c r="B72" s="2" t="s">
        <v>482</v>
      </c>
      <c r="C72" s="2">
        <v>71</v>
      </c>
    </row>
    <row r="73" spans="1:3" x14ac:dyDescent="0.35">
      <c r="A73" s="2">
        <v>12404</v>
      </c>
      <c r="B73" s="2" t="s">
        <v>646</v>
      </c>
      <c r="C73" s="2">
        <v>71</v>
      </c>
    </row>
    <row r="74" spans="1:3" x14ac:dyDescent="0.35">
      <c r="A74" s="2">
        <v>12405</v>
      </c>
      <c r="B74" s="2" t="s">
        <v>508</v>
      </c>
      <c r="C74" s="2">
        <v>71</v>
      </c>
    </row>
    <row r="75" spans="1:3" x14ac:dyDescent="0.35">
      <c r="A75" s="2">
        <v>12406</v>
      </c>
      <c r="B75" s="2" t="s">
        <v>647</v>
      </c>
      <c r="C75" s="2">
        <v>71</v>
      </c>
    </row>
    <row r="76" spans="1:3" x14ac:dyDescent="0.35">
      <c r="A76" s="2">
        <v>12408</v>
      </c>
      <c r="B76" s="2" t="s">
        <v>509</v>
      </c>
      <c r="C76" s="2">
        <v>71</v>
      </c>
    </row>
    <row r="77" spans="1:3" x14ac:dyDescent="0.35">
      <c r="A77" s="2">
        <v>12410</v>
      </c>
      <c r="B77" s="2" t="s">
        <v>648</v>
      </c>
      <c r="C77" s="2">
        <v>71</v>
      </c>
    </row>
    <row r="78" spans="1:3" x14ac:dyDescent="0.35">
      <c r="A78" s="2">
        <v>12412</v>
      </c>
      <c r="B78" s="2" t="s">
        <v>510</v>
      </c>
      <c r="C78" s="2">
        <v>71</v>
      </c>
    </row>
    <row r="79" spans="1:3" x14ac:dyDescent="0.35">
      <c r="A79" s="2">
        <v>12413</v>
      </c>
      <c r="B79" s="2" t="s">
        <v>649</v>
      </c>
      <c r="C79" s="2">
        <v>71</v>
      </c>
    </row>
    <row r="80" spans="1:3" x14ac:dyDescent="0.35">
      <c r="A80" s="2">
        <v>12421</v>
      </c>
      <c r="B80" s="2" t="s">
        <v>650</v>
      </c>
      <c r="C80" s="2">
        <v>71</v>
      </c>
    </row>
    <row r="81" spans="1:3" x14ac:dyDescent="0.35">
      <c r="A81" s="2">
        <v>12422</v>
      </c>
      <c r="B81" s="2" t="s">
        <v>483</v>
      </c>
      <c r="C81" s="2">
        <v>71</v>
      </c>
    </row>
    <row r="82" spans="1:3" x14ac:dyDescent="0.35">
      <c r="A82" s="2">
        <v>12423</v>
      </c>
      <c r="B82" s="2" t="s">
        <v>484</v>
      </c>
      <c r="C82" s="2">
        <v>71</v>
      </c>
    </row>
    <row r="83" spans="1:3" x14ac:dyDescent="0.35">
      <c r="A83" s="2">
        <v>12424</v>
      </c>
      <c r="B83" s="2" t="s">
        <v>485</v>
      </c>
      <c r="C83" s="2">
        <v>71</v>
      </c>
    </row>
    <row r="84" spans="1:3" x14ac:dyDescent="0.35">
      <c r="A84" s="2">
        <v>12448</v>
      </c>
      <c r="B84" s="2" t="s">
        <v>651</v>
      </c>
      <c r="C84" s="2">
        <v>71</v>
      </c>
    </row>
    <row r="85" spans="1:3" x14ac:dyDescent="0.35">
      <c r="A85" s="2">
        <v>12501</v>
      </c>
      <c r="B85" s="2" t="s">
        <v>486</v>
      </c>
      <c r="C85" s="2">
        <v>71</v>
      </c>
    </row>
    <row r="86" spans="1:3" x14ac:dyDescent="0.35">
      <c r="A86" s="2">
        <v>12502</v>
      </c>
      <c r="B86" s="2" t="s">
        <v>652</v>
      </c>
      <c r="C86" s="2">
        <v>71</v>
      </c>
    </row>
    <row r="87" spans="1:3" x14ac:dyDescent="0.35">
      <c r="A87" s="2">
        <v>12503</v>
      </c>
      <c r="B87" s="2" t="s">
        <v>511</v>
      </c>
      <c r="C87" s="2">
        <v>71</v>
      </c>
    </row>
    <row r="88" spans="1:3" x14ac:dyDescent="0.35">
      <c r="A88" s="2">
        <v>12506</v>
      </c>
      <c r="B88" s="2" t="s">
        <v>653</v>
      </c>
      <c r="C88" s="2">
        <v>71</v>
      </c>
    </row>
    <row r="89" spans="1:3" x14ac:dyDescent="0.35">
      <c r="A89" s="2">
        <v>12508</v>
      </c>
      <c r="B89" s="2" t="s">
        <v>654</v>
      </c>
      <c r="C89" s="2">
        <v>71</v>
      </c>
    </row>
    <row r="90" spans="1:3" x14ac:dyDescent="0.35">
      <c r="A90" s="2">
        <v>12510</v>
      </c>
      <c r="B90" s="2" t="s">
        <v>655</v>
      </c>
      <c r="C90" s="2">
        <v>71</v>
      </c>
    </row>
    <row r="91" spans="1:3" x14ac:dyDescent="0.35">
      <c r="A91" s="2">
        <v>12512</v>
      </c>
      <c r="B91" s="2" t="s">
        <v>512</v>
      </c>
      <c r="C91" s="2">
        <v>71</v>
      </c>
    </row>
    <row r="92" spans="1:3" x14ac:dyDescent="0.35">
      <c r="A92" s="2">
        <v>12513</v>
      </c>
      <c r="B92" s="2" t="s">
        <v>656</v>
      </c>
      <c r="C92" s="2">
        <v>71</v>
      </c>
    </row>
    <row r="93" spans="1:3" x14ac:dyDescent="0.35">
      <c r="A93" s="2">
        <v>12514</v>
      </c>
      <c r="B93" s="2" t="s">
        <v>657</v>
      </c>
      <c r="C93" s="2">
        <v>71</v>
      </c>
    </row>
    <row r="94" spans="1:3" x14ac:dyDescent="0.35">
      <c r="A94" s="2">
        <v>12515</v>
      </c>
      <c r="B94" s="2" t="s">
        <v>513</v>
      </c>
      <c r="C94" s="2">
        <v>71</v>
      </c>
    </row>
    <row r="95" spans="1:3" x14ac:dyDescent="0.35">
      <c r="A95" s="2">
        <v>12548</v>
      </c>
      <c r="B95" s="2" t="s">
        <v>658</v>
      </c>
      <c r="C95" s="2">
        <v>71</v>
      </c>
    </row>
    <row r="96" spans="1:3" x14ac:dyDescent="0.35">
      <c r="A96" s="2">
        <v>12601</v>
      </c>
      <c r="B96" s="2" t="s">
        <v>659</v>
      </c>
      <c r="C96" s="2">
        <v>71</v>
      </c>
    </row>
    <row r="97" spans="1:3" x14ac:dyDescent="0.35">
      <c r="A97" s="2">
        <v>12701</v>
      </c>
      <c r="B97" s="2" t="s">
        <v>660</v>
      </c>
      <c r="C97" s="2">
        <v>71</v>
      </c>
    </row>
    <row r="98" spans="1:3" x14ac:dyDescent="0.35">
      <c r="A98" s="2">
        <v>12702</v>
      </c>
      <c r="B98" s="2" t="s">
        <v>514</v>
      </c>
      <c r="C98" s="2">
        <v>71</v>
      </c>
    </row>
    <row r="99" spans="1:3" x14ac:dyDescent="0.35">
      <c r="A99" s="2">
        <v>12703</v>
      </c>
      <c r="B99" s="2" t="s">
        <v>515</v>
      </c>
      <c r="C99" s="2">
        <v>71</v>
      </c>
    </row>
    <row r="100" spans="1:3" x14ac:dyDescent="0.35">
      <c r="A100" s="2">
        <v>12706</v>
      </c>
      <c r="B100" s="2" t="s">
        <v>516</v>
      </c>
      <c r="C100" s="2">
        <v>71</v>
      </c>
    </row>
    <row r="101" spans="1:3" x14ac:dyDescent="0.35">
      <c r="A101" s="2">
        <v>12708</v>
      </c>
      <c r="B101" s="2" t="s">
        <v>517</v>
      </c>
      <c r="C101" s="2">
        <v>71</v>
      </c>
    </row>
    <row r="102" spans="1:3" x14ac:dyDescent="0.35">
      <c r="A102" s="2">
        <v>12710</v>
      </c>
      <c r="B102" s="2" t="s">
        <v>518</v>
      </c>
      <c r="C102" s="2">
        <v>71</v>
      </c>
    </row>
    <row r="103" spans="1:3" x14ac:dyDescent="0.35">
      <c r="A103" s="2">
        <v>12712</v>
      </c>
      <c r="B103" s="2" t="s">
        <v>661</v>
      </c>
      <c r="C103" s="2">
        <v>71</v>
      </c>
    </row>
    <row r="104" spans="1:3" x14ac:dyDescent="0.35">
      <c r="A104" s="2">
        <v>12748</v>
      </c>
      <c r="B104" s="2" t="s">
        <v>519</v>
      </c>
      <c r="C104" s="2">
        <v>71</v>
      </c>
    </row>
    <row r="105" spans="1:3" x14ac:dyDescent="0.35">
      <c r="A105" s="2">
        <v>12801</v>
      </c>
      <c r="B105" s="2" t="s">
        <v>662</v>
      </c>
      <c r="C105" s="2">
        <v>71</v>
      </c>
    </row>
    <row r="106" spans="1:3" x14ac:dyDescent="0.35">
      <c r="A106" s="2">
        <v>12802</v>
      </c>
      <c r="B106" s="2" t="s">
        <v>487</v>
      </c>
      <c r="C106" s="2">
        <v>71</v>
      </c>
    </row>
    <row r="107" spans="1:3" x14ac:dyDescent="0.35">
      <c r="A107" s="2">
        <v>12810</v>
      </c>
      <c r="B107" s="2" t="s">
        <v>442</v>
      </c>
      <c r="C107" s="2">
        <v>71</v>
      </c>
    </row>
    <row r="108" spans="1:3" x14ac:dyDescent="0.35">
      <c r="A108" s="2">
        <v>12901</v>
      </c>
      <c r="B108" s="2" t="s">
        <v>488</v>
      </c>
      <c r="C108" s="2">
        <v>71</v>
      </c>
    </row>
    <row r="109" spans="1:3" x14ac:dyDescent="0.35">
      <c r="A109" s="2">
        <v>12902</v>
      </c>
      <c r="B109" s="2" t="s">
        <v>489</v>
      </c>
      <c r="C109" s="2">
        <v>71</v>
      </c>
    </row>
    <row r="110" spans="1:3" x14ac:dyDescent="0.35">
      <c r="A110" s="2">
        <v>14001</v>
      </c>
      <c r="B110" s="2" t="s">
        <v>490</v>
      </c>
      <c r="C110" s="2">
        <v>71</v>
      </c>
    </row>
    <row r="111" spans="1:3" x14ac:dyDescent="0.35">
      <c r="A111" s="2">
        <v>14002</v>
      </c>
      <c r="B111" s="2" t="s">
        <v>663</v>
      </c>
      <c r="C111" s="2">
        <v>71</v>
      </c>
    </row>
    <row r="112" spans="1:3" x14ac:dyDescent="0.35">
      <c r="A112" s="2">
        <v>14006</v>
      </c>
      <c r="B112" s="2" t="s">
        <v>491</v>
      </c>
      <c r="C112" s="2">
        <v>71</v>
      </c>
    </row>
    <row r="113" spans="1:3" x14ac:dyDescent="0.35">
      <c r="A113" s="2">
        <v>14011</v>
      </c>
      <c r="B113" s="2" t="s">
        <v>492</v>
      </c>
      <c r="C113" s="2">
        <v>71</v>
      </c>
    </row>
    <row r="114" spans="1:3" x14ac:dyDescent="0.35">
      <c r="A114" s="2">
        <v>14012</v>
      </c>
      <c r="B114" s="2" t="s">
        <v>493</v>
      </c>
      <c r="C114" s="2">
        <v>71</v>
      </c>
    </row>
    <row r="115" spans="1:3" x14ac:dyDescent="0.35">
      <c r="A115" s="2">
        <v>14013</v>
      </c>
      <c r="B115" s="2" t="s">
        <v>494</v>
      </c>
      <c r="C115" s="2">
        <v>71</v>
      </c>
    </row>
    <row r="116" spans="1:3" x14ac:dyDescent="0.35">
      <c r="A116" s="2">
        <v>14048</v>
      </c>
      <c r="B116" s="2" t="s">
        <v>495</v>
      </c>
      <c r="C116" s="2">
        <v>71</v>
      </c>
    </row>
    <row r="117" spans="1:3" x14ac:dyDescent="0.35">
      <c r="A117" s="2">
        <v>16101</v>
      </c>
      <c r="B117" s="2" t="s">
        <v>664</v>
      </c>
      <c r="C117" s="2">
        <v>60</v>
      </c>
    </row>
    <row r="118" spans="1:3" x14ac:dyDescent="0.35">
      <c r="A118" s="2">
        <v>16102</v>
      </c>
      <c r="B118" s="2" t="s">
        <v>665</v>
      </c>
      <c r="C118" s="2">
        <v>60</v>
      </c>
    </row>
    <row r="119" spans="1:3" x14ac:dyDescent="0.35">
      <c r="A119" s="2">
        <v>16103</v>
      </c>
      <c r="B119" s="2" t="s">
        <v>666</v>
      </c>
      <c r="C119" s="2">
        <v>60</v>
      </c>
    </row>
    <row r="120" spans="1:3" x14ac:dyDescent="0.35">
      <c r="A120" s="2">
        <v>16104</v>
      </c>
      <c r="B120" s="2" t="s">
        <v>667</v>
      </c>
      <c r="C120" s="2">
        <v>60</v>
      </c>
    </row>
    <row r="121" spans="1:3" x14ac:dyDescent="0.35">
      <c r="A121" s="2">
        <v>16105</v>
      </c>
      <c r="B121" s="2" t="s">
        <v>668</v>
      </c>
      <c r="C121" s="2">
        <v>60</v>
      </c>
    </row>
    <row r="122" spans="1:3" x14ac:dyDescent="0.35">
      <c r="A122" s="2">
        <v>16106</v>
      </c>
      <c r="B122" s="2" t="s">
        <v>669</v>
      </c>
      <c r="C122" s="2">
        <v>60</v>
      </c>
    </row>
    <row r="123" spans="1:3" x14ac:dyDescent="0.35">
      <c r="A123" s="2">
        <v>16107</v>
      </c>
      <c r="B123" s="2" t="s">
        <v>670</v>
      </c>
      <c r="C123" s="2">
        <v>60</v>
      </c>
    </row>
    <row r="124" spans="1:3" x14ac:dyDescent="0.35">
      <c r="A124" s="2">
        <v>16108</v>
      </c>
      <c r="B124" s="2" t="s">
        <v>671</v>
      </c>
      <c r="C124" s="2">
        <v>60</v>
      </c>
    </row>
    <row r="125" spans="1:3" x14ac:dyDescent="0.35">
      <c r="A125" s="2">
        <v>16109</v>
      </c>
      <c r="B125" s="2" t="s">
        <v>672</v>
      </c>
      <c r="C125" s="2">
        <v>60</v>
      </c>
    </row>
    <row r="126" spans="1:3" x14ac:dyDescent="0.35">
      <c r="A126" s="2">
        <v>16110</v>
      </c>
      <c r="B126" s="2" t="s">
        <v>673</v>
      </c>
      <c r="C126" s="2">
        <v>60</v>
      </c>
    </row>
    <row r="127" spans="1:3" x14ac:dyDescent="0.35">
      <c r="A127" s="2">
        <v>16111</v>
      </c>
      <c r="B127" s="2" t="s">
        <v>674</v>
      </c>
      <c r="C127" s="2">
        <v>60</v>
      </c>
    </row>
    <row r="128" spans="1:3" x14ac:dyDescent="0.35">
      <c r="A128" s="2">
        <v>16112</v>
      </c>
      <c r="B128" s="2" t="s">
        <v>675</v>
      </c>
      <c r="C128" s="2">
        <v>60</v>
      </c>
    </row>
    <row r="129" spans="1:3" x14ac:dyDescent="0.35">
      <c r="A129" s="2">
        <v>16113</v>
      </c>
      <c r="B129" s="2" t="s">
        <v>676</v>
      </c>
      <c r="C129" s="2">
        <v>60</v>
      </c>
    </row>
    <row r="130" spans="1:3" x14ac:dyDescent="0.35">
      <c r="A130" s="2">
        <v>16114</v>
      </c>
      <c r="B130" s="2" t="s">
        <v>677</v>
      </c>
      <c r="C130" s="2">
        <v>60</v>
      </c>
    </row>
    <row r="131" spans="1:3" x14ac:dyDescent="0.35">
      <c r="A131" s="2">
        <v>16148</v>
      </c>
      <c r="B131" s="2" t="s">
        <v>678</v>
      </c>
      <c r="C131" s="2">
        <v>60</v>
      </c>
    </row>
    <row r="132" spans="1:3" x14ac:dyDescent="0.35">
      <c r="A132" s="2">
        <v>16201</v>
      </c>
      <c r="B132" s="2" t="s">
        <v>679</v>
      </c>
      <c r="C132" s="2">
        <v>60</v>
      </c>
    </row>
    <row r="133" spans="1:3" x14ac:dyDescent="0.35">
      <c r="A133" s="2">
        <v>16301</v>
      </c>
      <c r="B133" s="2" t="s">
        <v>680</v>
      </c>
      <c r="C133" s="2">
        <v>60</v>
      </c>
    </row>
    <row r="134" spans="1:3" x14ac:dyDescent="0.35">
      <c r="A134" s="2">
        <v>16401</v>
      </c>
      <c r="B134" s="2" t="s">
        <v>681</v>
      </c>
      <c r="C134" s="2">
        <v>60</v>
      </c>
    </row>
    <row r="135" spans="1:3" x14ac:dyDescent="0.35">
      <c r="A135" s="2">
        <v>18001</v>
      </c>
      <c r="B135" s="2" t="s">
        <v>682</v>
      </c>
      <c r="C135" s="2">
        <v>60</v>
      </c>
    </row>
    <row r="136" spans="1:3" x14ac:dyDescent="0.35">
      <c r="A136" s="2">
        <v>18002</v>
      </c>
      <c r="B136" s="2" t="s">
        <v>683</v>
      </c>
      <c r="C136" s="2">
        <v>60</v>
      </c>
    </row>
    <row r="137" spans="1:3" x14ac:dyDescent="0.35">
      <c r="A137" s="2">
        <v>18048</v>
      </c>
      <c r="B137" s="2" t="s">
        <v>684</v>
      </c>
      <c r="C137" s="2">
        <v>60</v>
      </c>
    </row>
    <row r="138" spans="1:3" x14ac:dyDescent="0.35">
      <c r="A138" s="2">
        <v>20601</v>
      </c>
      <c r="B138" s="2" t="s">
        <v>685</v>
      </c>
      <c r="C138" s="2">
        <v>62</v>
      </c>
    </row>
    <row r="139" spans="1:3" x14ac:dyDescent="0.35">
      <c r="A139" s="2">
        <v>21101</v>
      </c>
      <c r="B139" s="2" t="s">
        <v>686</v>
      </c>
      <c r="C139" s="2" t="s">
        <v>724</v>
      </c>
    </row>
    <row r="140" spans="1:3" x14ac:dyDescent="0.35">
      <c r="A140" s="2">
        <v>21103</v>
      </c>
      <c r="B140" s="2" t="s">
        <v>687</v>
      </c>
      <c r="C140" s="2" t="s">
        <v>724</v>
      </c>
    </row>
    <row r="141" spans="1:3" x14ac:dyDescent="0.35">
      <c r="A141" s="2">
        <v>21104</v>
      </c>
      <c r="B141" s="2" t="s">
        <v>688</v>
      </c>
      <c r="C141" s="2" t="s">
        <v>724</v>
      </c>
    </row>
    <row r="142" spans="1:3" x14ac:dyDescent="0.35">
      <c r="A142" s="2">
        <v>21105</v>
      </c>
      <c r="B142" s="2" t="s">
        <v>689</v>
      </c>
      <c r="C142" s="2" t="s">
        <v>724</v>
      </c>
    </row>
    <row r="143" spans="1:3" x14ac:dyDescent="0.35">
      <c r="A143" s="2">
        <v>21106</v>
      </c>
      <c r="B143" s="2" t="s">
        <v>690</v>
      </c>
      <c r="C143" s="2" t="s">
        <v>724</v>
      </c>
    </row>
    <row r="144" spans="1:3" x14ac:dyDescent="0.35">
      <c r="A144" s="2">
        <v>21201</v>
      </c>
      <c r="B144" s="2" t="s">
        <v>691</v>
      </c>
      <c r="C144" s="2" t="s">
        <v>724</v>
      </c>
    </row>
    <row r="145" spans="1:3" x14ac:dyDescent="0.35">
      <c r="A145" s="2">
        <v>21301</v>
      </c>
      <c r="B145" s="2" t="s">
        <v>692</v>
      </c>
      <c r="C145" s="2" t="s">
        <v>724</v>
      </c>
    </row>
    <row r="146" spans="1:3" x14ac:dyDescent="0.35">
      <c r="A146" s="2">
        <v>21401</v>
      </c>
      <c r="B146" s="2" t="s">
        <v>693</v>
      </c>
      <c r="C146" s="2" t="s">
        <v>724</v>
      </c>
    </row>
    <row r="147" spans="1:3" x14ac:dyDescent="0.35">
      <c r="A147" s="2">
        <v>21402</v>
      </c>
      <c r="B147" s="2" t="s">
        <v>694</v>
      </c>
      <c r="C147" s="2" t="s">
        <v>724</v>
      </c>
    </row>
    <row r="148" spans="1:3" x14ac:dyDescent="0.35">
      <c r="A148" s="2">
        <v>21403</v>
      </c>
      <c r="B148" s="2" t="s">
        <v>695</v>
      </c>
      <c r="C148" s="2" t="s">
        <v>724</v>
      </c>
    </row>
    <row r="149" spans="1:3" x14ac:dyDescent="0.35">
      <c r="A149" s="2">
        <v>21501</v>
      </c>
      <c r="B149" s="2" t="s">
        <v>696</v>
      </c>
      <c r="C149" s="2" t="s">
        <v>724</v>
      </c>
    </row>
    <row r="150" spans="1:3" x14ac:dyDescent="0.35">
      <c r="A150" s="2">
        <v>21502</v>
      </c>
      <c r="B150" s="2" t="s">
        <v>697</v>
      </c>
      <c r="C150" s="2" t="s">
        <v>724</v>
      </c>
    </row>
    <row r="151" spans="1:3" x14ac:dyDescent="0.35">
      <c r="A151" s="2">
        <v>21601</v>
      </c>
      <c r="B151" s="2" t="s">
        <v>698</v>
      </c>
      <c r="C151" s="2" t="s">
        <v>724</v>
      </c>
    </row>
    <row r="152" spans="1:3" x14ac:dyDescent="0.35">
      <c r="A152" s="2">
        <v>21701</v>
      </c>
      <c r="B152" s="2" t="s">
        <v>699</v>
      </c>
      <c r="C152" s="2" t="s">
        <v>724</v>
      </c>
    </row>
    <row r="153" spans="1:3" x14ac:dyDescent="0.35">
      <c r="A153" s="2">
        <v>21801</v>
      </c>
      <c r="B153" s="2" t="s">
        <v>700</v>
      </c>
      <c r="C153" s="2" t="s">
        <v>724</v>
      </c>
    </row>
    <row r="154" spans="1:3" x14ac:dyDescent="0.35">
      <c r="A154" s="2">
        <v>21901</v>
      </c>
      <c r="B154" s="2" t="s">
        <v>701</v>
      </c>
      <c r="C154" s="2" t="s">
        <v>724</v>
      </c>
    </row>
    <row r="155" spans="1:3" x14ac:dyDescent="0.35">
      <c r="A155" s="2">
        <v>22101</v>
      </c>
      <c r="B155" s="2" t="s">
        <v>702</v>
      </c>
      <c r="C155" s="2" t="s">
        <v>724</v>
      </c>
    </row>
    <row r="156" spans="1:3" x14ac:dyDescent="0.35">
      <c r="A156" s="2">
        <v>22201</v>
      </c>
      <c r="B156" s="2" t="s">
        <v>703</v>
      </c>
      <c r="C156" s="2" t="s">
        <v>724</v>
      </c>
    </row>
    <row r="157" spans="1:3" x14ac:dyDescent="0.35">
      <c r="A157" s="2">
        <v>22301</v>
      </c>
      <c r="B157" s="2" t="s">
        <v>704</v>
      </c>
      <c r="C157" s="2" t="s">
        <v>724</v>
      </c>
    </row>
    <row r="158" spans="1:3" x14ac:dyDescent="0.35">
      <c r="A158" s="2">
        <v>22401</v>
      </c>
      <c r="B158" s="2" t="s">
        <v>705</v>
      </c>
      <c r="C158" s="2" t="s">
        <v>724</v>
      </c>
    </row>
    <row r="159" spans="1:3" x14ac:dyDescent="0.35">
      <c r="A159" s="2">
        <v>22501</v>
      </c>
      <c r="B159" s="2" t="s">
        <v>706</v>
      </c>
      <c r="C159" s="2" t="s">
        <v>724</v>
      </c>
    </row>
    <row r="160" spans="1:3" x14ac:dyDescent="0.35">
      <c r="A160" s="2">
        <v>22701</v>
      </c>
      <c r="B160" s="2" t="s">
        <v>707</v>
      </c>
      <c r="C160" s="2" t="s">
        <v>724</v>
      </c>
    </row>
    <row r="161" spans="1:3" x14ac:dyDescent="0.35">
      <c r="A161" s="2">
        <v>22901</v>
      </c>
      <c r="B161" s="2" t="s">
        <v>708</v>
      </c>
      <c r="C161" s="2" t="s">
        <v>724</v>
      </c>
    </row>
    <row r="162" spans="1:3" x14ac:dyDescent="0.35">
      <c r="A162" s="2">
        <v>26101</v>
      </c>
      <c r="B162" s="2" t="s">
        <v>709</v>
      </c>
      <c r="C162" s="2">
        <v>62</v>
      </c>
    </row>
    <row r="163" spans="1:3" x14ac:dyDescent="0.35">
      <c r="A163" s="2">
        <v>26103</v>
      </c>
      <c r="B163" s="2" t="s">
        <v>710</v>
      </c>
      <c r="C163" s="2">
        <v>62</v>
      </c>
    </row>
    <row r="164" spans="1:3" x14ac:dyDescent="0.35">
      <c r="A164" s="2">
        <v>26201</v>
      </c>
      <c r="B164" s="2" t="s">
        <v>711</v>
      </c>
      <c r="C164" s="2">
        <v>62</v>
      </c>
    </row>
    <row r="165" spans="1:3" x14ac:dyDescent="0.35">
      <c r="A165" s="2">
        <v>26301</v>
      </c>
      <c r="B165" s="2" t="s">
        <v>712</v>
      </c>
      <c r="C165" s="2">
        <v>62</v>
      </c>
    </row>
    <row r="166" spans="1:3" x14ac:dyDescent="0.35">
      <c r="A166" s="2">
        <v>26401</v>
      </c>
      <c r="B166" s="2" t="s">
        <v>713</v>
      </c>
      <c r="C166" s="2">
        <v>62</v>
      </c>
    </row>
    <row r="167" spans="1:3" x14ac:dyDescent="0.35">
      <c r="A167" s="2">
        <v>26402</v>
      </c>
      <c r="B167" s="2" t="s">
        <v>714</v>
      </c>
      <c r="C167" s="2">
        <v>62</v>
      </c>
    </row>
    <row r="168" spans="1:3" x14ac:dyDescent="0.35">
      <c r="A168" s="2">
        <v>26403</v>
      </c>
      <c r="B168" s="2" t="s">
        <v>715</v>
      </c>
      <c r="C168" s="2">
        <v>62</v>
      </c>
    </row>
    <row r="169" spans="1:3" x14ac:dyDescent="0.35">
      <c r="A169" s="2">
        <v>26404</v>
      </c>
      <c r="B169" s="2" t="s">
        <v>716</v>
      </c>
      <c r="C169" s="2">
        <v>62</v>
      </c>
    </row>
    <row r="170" spans="1:3" x14ac:dyDescent="0.35">
      <c r="A170" s="2">
        <v>26501</v>
      </c>
      <c r="B170" s="2" t="s">
        <v>717</v>
      </c>
      <c r="C170" s="2">
        <v>62</v>
      </c>
    </row>
    <row r="171" spans="1:3" x14ac:dyDescent="0.35">
      <c r="A171" s="2">
        <v>26601</v>
      </c>
      <c r="B171" s="2" t="s">
        <v>802</v>
      </c>
      <c r="C171" s="2">
        <v>62</v>
      </c>
    </row>
    <row r="172" spans="1:3" x14ac:dyDescent="0.35">
      <c r="A172" s="2">
        <v>26801</v>
      </c>
      <c r="B172" s="2" t="s">
        <v>803</v>
      </c>
      <c r="C172" s="2">
        <v>62</v>
      </c>
    </row>
    <row r="173" spans="1:3" x14ac:dyDescent="0.35">
      <c r="A173" s="2">
        <v>26901</v>
      </c>
      <c r="B173" s="2" t="s">
        <v>804</v>
      </c>
      <c r="C173" s="2">
        <v>62</v>
      </c>
    </row>
    <row r="174" spans="1:3" x14ac:dyDescent="0.35">
      <c r="A174" s="2">
        <v>27101</v>
      </c>
      <c r="B174" s="2" t="s">
        <v>805</v>
      </c>
      <c r="C174" s="2">
        <v>62</v>
      </c>
    </row>
    <row r="175" spans="1:3" x14ac:dyDescent="0.35">
      <c r="A175" s="2">
        <v>27201</v>
      </c>
      <c r="B175" s="2" t="s">
        <v>806</v>
      </c>
      <c r="C175" s="2">
        <v>62</v>
      </c>
    </row>
    <row r="176" spans="1:3" x14ac:dyDescent="0.35">
      <c r="A176" s="2">
        <v>27301</v>
      </c>
      <c r="B176" s="2" t="s">
        <v>807</v>
      </c>
      <c r="C176" s="2">
        <v>62</v>
      </c>
    </row>
    <row r="177" spans="1:3" x14ac:dyDescent="0.35">
      <c r="A177" s="2">
        <v>27401</v>
      </c>
      <c r="B177" s="2" t="s">
        <v>808</v>
      </c>
      <c r="C177" s="2">
        <v>62</v>
      </c>
    </row>
    <row r="178" spans="1:3" x14ac:dyDescent="0.35">
      <c r="A178" s="2">
        <v>27501</v>
      </c>
      <c r="B178" s="2" t="s">
        <v>809</v>
      </c>
      <c r="C178" s="2">
        <v>62</v>
      </c>
    </row>
    <row r="179" spans="1:3" x14ac:dyDescent="0.35">
      <c r="A179" s="2">
        <v>28001</v>
      </c>
      <c r="B179" s="2" t="s">
        <v>810</v>
      </c>
      <c r="C179" s="2">
        <v>62</v>
      </c>
    </row>
    <row r="180" spans="1:3" x14ac:dyDescent="0.35">
      <c r="A180" s="2">
        <v>28002</v>
      </c>
      <c r="B180" s="2" t="s">
        <v>811</v>
      </c>
      <c r="C180" s="2">
        <v>62</v>
      </c>
    </row>
    <row r="181" spans="1:3" x14ac:dyDescent="0.35">
      <c r="A181" s="2">
        <v>30101</v>
      </c>
      <c r="B181" s="2" t="s">
        <v>812</v>
      </c>
      <c r="C181" s="2">
        <v>72</v>
      </c>
    </row>
    <row r="182" spans="1:3" x14ac:dyDescent="0.35">
      <c r="A182" s="2">
        <v>30102</v>
      </c>
      <c r="B182" s="2" t="s">
        <v>813</v>
      </c>
      <c r="C182" s="2">
        <v>72</v>
      </c>
    </row>
    <row r="183" spans="1:3" x14ac:dyDescent="0.35">
      <c r="A183" s="2">
        <v>30201</v>
      </c>
      <c r="B183" s="2" t="s">
        <v>814</v>
      </c>
      <c r="C183" s="2">
        <v>72</v>
      </c>
    </row>
    <row r="184" spans="1:3" x14ac:dyDescent="0.35">
      <c r="A184" s="2">
        <v>30601</v>
      </c>
      <c r="B184" s="2" t="s">
        <v>815</v>
      </c>
      <c r="C184" s="2">
        <v>61</v>
      </c>
    </row>
    <row r="185" spans="1:3" x14ac:dyDescent="0.35">
      <c r="A185" s="2">
        <v>30701</v>
      </c>
      <c r="B185" s="2" t="s">
        <v>816</v>
      </c>
      <c r="C185" s="2">
        <v>61</v>
      </c>
    </row>
    <row r="186" spans="1:3" x14ac:dyDescent="0.35">
      <c r="A186" s="2">
        <v>31001</v>
      </c>
      <c r="B186" s="2" t="s">
        <v>817</v>
      </c>
      <c r="C186" s="2">
        <v>72</v>
      </c>
    </row>
    <row r="187" spans="1:3" x14ac:dyDescent="0.35">
      <c r="A187" s="2">
        <v>32101</v>
      </c>
      <c r="B187" s="2" t="s">
        <v>818</v>
      </c>
      <c r="C187" s="2">
        <v>72</v>
      </c>
    </row>
    <row r="188" spans="1:3" x14ac:dyDescent="0.35">
      <c r="A188" s="2">
        <v>32102</v>
      </c>
      <c r="B188" s="2" t="s">
        <v>819</v>
      </c>
      <c r="C188" s="2">
        <v>72</v>
      </c>
    </row>
    <row r="189" spans="1:3" x14ac:dyDescent="0.35">
      <c r="A189" s="2">
        <v>32201</v>
      </c>
      <c r="B189" s="2" t="s">
        <v>820</v>
      </c>
      <c r="C189" s="2">
        <v>72</v>
      </c>
    </row>
    <row r="190" spans="1:3" x14ac:dyDescent="0.35">
      <c r="A190" s="2">
        <v>32248</v>
      </c>
      <c r="B190" s="2" t="s">
        <v>821</v>
      </c>
      <c r="C190" s="2">
        <v>72</v>
      </c>
    </row>
    <row r="191" spans="1:3" x14ac:dyDescent="0.35">
      <c r="A191" s="2">
        <v>33101</v>
      </c>
      <c r="B191" s="2" t="s">
        <v>822</v>
      </c>
      <c r="C191" s="2">
        <v>72</v>
      </c>
    </row>
    <row r="192" spans="1:3" x14ac:dyDescent="0.35">
      <c r="A192" s="2">
        <v>33201</v>
      </c>
      <c r="B192" s="2" t="s">
        <v>823</v>
      </c>
      <c r="C192" s="2">
        <v>72</v>
      </c>
    </row>
    <row r="193" spans="1:3" x14ac:dyDescent="0.35">
      <c r="A193" s="2">
        <v>33202</v>
      </c>
      <c r="B193" s="2" t="s">
        <v>824</v>
      </c>
      <c r="C193" s="2">
        <v>72</v>
      </c>
    </row>
    <row r="194" spans="1:3" x14ac:dyDescent="0.35">
      <c r="A194" s="2">
        <v>33203</v>
      </c>
      <c r="B194" s="2" t="s">
        <v>825</v>
      </c>
      <c r="C194" s="2">
        <v>72</v>
      </c>
    </row>
    <row r="195" spans="1:3" x14ac:dyDescent="0.35">
      <c r="A195" s="2">
        <v>33248</v>
      </c>
      <c r="B195" s="2" t="s">
        <v>826</v>
      </c>
      <c r="C195" s="2">
        <v>72</v>
      </c>
    </row>
    <row r="196" spans="1:3" x14ac:dyDescent="0.35">
      <c r="A196" s="2">
        <v>36101</v>
      </c>
      <c r="B196" s="2" t="s">
        <v>827</v>
      </c>
      <c r="C196" s="2">
        <v>61</v>
      </c>
    </row>
    <row r="197" spans="1:3" x14ac:dyDescent="0.35">
      <c r="A197" s="2">
        <v>36102</v>
      </c>
      <c r="B197" s="2" t="s">
        <v>828</v>
      </c>
      <c r="C197" s="2">
        <v>61</v>
      </c>
    </row>
    <row r="198" spans="1:3" x14ac:dyDescent="0.35">
      <c r="A198" s="2">
        <v>36103</v>
      </c>
      <c r="B198" s="2" t="s">
        <v>829</v>
      </c>
      <c r="C198" s="2">
        <v>61</v>
      </c>
    </row>
    <row r="199" spans="1:3" x14ac:dyDescent="0.35">
      <c r="A199" s="2">
        <v>36104</v>
      </c>
      <c r="B199" s="2" t="s">
        <v>830</v>
      </c>
      <c r="C199" s="2">
        <v>61</v>
      </c>
    </row>
    <row r="200" spans="1:3" x14ac:dyDescent="0.35">
      <c r="A200" s="2">
        <v>36148</v>
      </c>
      <c r="B200" s="2" t="s">
        <v>831</v>
      </c>
      <c r="C200" s="2">
        <v>61</v>
      </c>
    </row>
    <row r="201" spans="1:3" x14ac:dyDescent="0.35">
      <c r="A201" s="2">
        <v>36201</v>
      </c>
      <c r="B201" s="2" t="s">
        <v>832</v>
      </c>
      <c r="C201" s="2">
        <v>61</v>
      </c>
    </row>
    <row r="202" spans="1:3" x14ac:dyDescent="0.35">
      <c r="A202" s="2">
        <v>36202</v>
      </c>
      <c r="B202" s="2" t="s">
        <v>833</v>
      </c>
      <c r="C202" s="2">
        <v>61</v>
      </c>
    </row>
    <row r="203" spans="1:3" x14ac:dyDescent="0.35">
      <c r="A203" s="2">
        <v>36203</v>
      </c>
      <c r="B203" s="2" t="s">
        <v>834</v>
      </c>
      <c r="C203" s="2">
        <v>61</v>
      </c>
    </row>
    <row r="204" spans="1:3" x14ac:dyDescent="0.35">
      <c r="A204" s="2">
        <v>36204</v>
      </c>
      <c r="B204" s="2" t="s">
        <v>835</v>
      </c>
      <c r="C204" s="2">
        <v>61</v>
      </c>
    </row>
    <row r="205" spans="1:3" x14ac:dyDescent="0.35">
      <c r="A205" s="2">
        <v>36205</v>
      </c>
      <c r="B205" s="2" t="s">
        <v>836</v>
      </c>
      <c r="C205" s="2">
        <v>61</v>
      </c>
    </row>
    <row r="206" spans="1:3" x14ac:dyDescent="0.35">
      <c r="A206" s="2">
        <v>36206</v>
      </c>
      <c r="B206" s="2" t="s">
        <v>837</v>
      </c>
      <c r="C206" s="2">
        <v>61</v>
      </c>
    </row>
    <row r="207" spans="1:3" x14ac:dyDescent="0.35">
      <c r="A207" s="2">
        <v>36207</v>
      </c>
      <c r="B207" s="2" t="s">
        <v>838</v>
      </c>
      <c r="C207" s="2">
        <v>61</v>
      </c>
    </row>
    <row r="208" spans="1:3" x14ac:dyDescent="0.35">
      <c r="A208" s="2">
        <v>36208</v>
      </c>
      <c r="B208" s="2" t="s">
        <v>839</v>
      </c>
      <c r="C208" s="2">
        <v>61</v>
      </c>
    </row>
    <row r="209" spans="1:3" x14ac:dyDescent="0.35">
      <c r="A209" s="2">
        <v>36209</v>
      </c>
      <c r="B209" s="2" t="s">
        <v>840</v>
      </c>
      <c r="C209" s="2">
        <v>61</v>
      </c>
    </row>
    <row r="210" spans="1:3" x14ac:dyDescent="0.35">
      <c r="A210" s="2">
        <v>36248</v>
      </c>
      <c r="B210" s="2" t="s">
        <v>841</v>
      </c>
      <c r="C210" s="2">
        <v>61</v>
      </c>
    </row>
    <row r="211" spans="1:3" x14ac:dyDescent="0.35">
      <c r="A211" s="2">
        <v>36301</v>
      </c>
      <c r="B211" s="2" t="s">
        <v>842</v>
      </c>
      <c r="C211" s="2">
        <v>61</v>
      </c>
    </row>
    <row r="212" spans="1:3" x14ac:dyDescent="0.35">
      <c r="A212" s="2">
        <v>36302</v>
      </c>
      <c r="B212" s="2" t="s">
        <v>843</v>
      </c>
      <c r="C212" s="2">
        <v>61</v>
      </c>
    </row>
    <row r="213" spans="1:3" x14ac:dyDescent="0.35">
      <c r="A213" s="2">
        <v>36303</v>
      </c>
      <c r="B213" s="2" t="s">
        <v>844</v>
      </c>
      <c r="C213" s="2">
        <v>61</v>
      </c>
    </row>
    <row r="214" spans="1:3" x14ac:dyDescent="0.35">
      <c r="A214" s="2">
        <v>36304</v>
      </c>
      <c r="B214" s="2" t="s">
        <v>845</v>
      </c>
      <c r="C214" s="2">
        <v>61</v>
      </c>
    </row>
    <row r="215" spans="1:3" x14ac:dyDescent="0.35">
      <c r="A215" s="2">
        <v>36305</v>
      </c>
      <c r="B215" s="2" t="s">
        <v>846</v>
      </c>
      <c r="C215" s="2">
        <v>61</v>
      </c>
    </row>
    <row r="216" spans="1:3" x14ac:dyDescent="0.35">
      <c r="A216" s="2">
        <v>36306</v>
      </c>
      <c r="B216" s="2" t="s">
        <v>847</v>
      </c>
      <c r="C216" s="2">
        <v>61</v>
      </c>
    </row>
    <row r="217" spans="1:3" x14ac:dyDescent="0.35">
      <c r="A217" s="2">
        <v>36307</v>
      </c>
      <c r="B217" s="2" t="s">
        <v>848</v>
      </c>
      <c r="C217" s="2">
        <v>61</v>
      </c>
    </row>
    <row r="218" spans="1:3" x14ac:dyDescent="0.35">
      <c r="A218" s="2">
        <v>36308</v>
      </c>
      <c r="B218" s="2" t="s">
        <v>849</v>
      </c>
      <c r="C218" s="2">
        <v>61</v>
      </c>
    </row>
    <row r="219" spans="1:3" x14ac:dyDescent="0.35">
      <c r="A219" s="2">
        <v>36309</v>
      </c>
      <c r="B219" s="2" t="s">
        <v>850</v>
      </c>
      <c r="C219" s="2">
        <v>61</v>
      </c>
    </row>
    <row r="220" spans="1:3" x14ac:dyDescent="0.35">
      <c r="A220" s="2">
        <v>36310</v>
      </c>
      <c r="B220" s="2" t="s">
        <v>851</v>
      </c>
      <c r="C220" s="2">
        <v>61</v>
      </c>
    </row>
    <row r="221" spans="1:3" x14ac:dyDescent="0.35">
      <c r="A221" s="2">
        <v>36311</v>
      </c>
      <c r="B221" s="2" t="s">
        <v>852</v>
      </c>
      <c r="C221" s="2">
        <v>61</v>
      </c>
    </row>
    <row r="222" spans="1:3" x14ac:dyDescent="0.35">
      <c r="A222" s="2">
        <v>36312</v>
      </c>
      <c r="B222" s="2" t="s">
        <v>853</v>
      </c>
      <c r="C222" s="2">
        <v>61</v>
      </c>
    </row>
    <row r="223" spans="1:3" x14ac:dyDescent="0.35">
      <c r="A223" s="2">
        <v>36313</v>
      </c>
      <c r="B223" s="2" t="s">
        <v>854</v>
      </c>
      <c r="C223" s="2">
        <v>61</v>
      </c>
    </row>
    <row r="224" spans="1:3" x14ac:dyDescent="0.35">
      <c r="A224" s="2">
        <v>36314</v>
      </c>
      <c r="B224" s="2" t="s">
        <v>855</v>
      </c>
      <c r="C224" s="2">
        <v>61</v>
      </c>
    </row>
    <row r="225" spans="1:3" x14ac:dyDescent="0.35">
      <c r="A225" s="2">
        <v>36315</v>
      </c>
      <c r="B225" s="2" t="s">
        <v>856</v>
      </c>
      <c r="C225" s="2">
        <v>61</v>
      </c>
    </row>
    <row r="226" spans="1:3" x14ac:dyDescent="0.35">
      <c r="A226" s="2">
        <v>36316</v>
      </c>
      <c r="B226" s="2" t="s">
        <v>857</v>
      </c>
      <c r="C226" s="2">
        <v>61</v>
      </c>
    </row>
    <row r="227" spans="1:3" x14ac:dyDescent="0.35">
      <c r="A227" s="2">
        <v>36317</v>
      </c>
      <c r="B227" s="2" t="s">
        <v>858</v>
      </c>
      <c r="C227" s="2">
        <v>61</v>
      </c>
    </row>
    <row r="228" spans="1:3" x14ac:dyDescent="0.35">
      <c r="A228" s="2">
        <v>36318</v>
      </c>
      <c r="B228" s="2" t="s">
        <v>859</v>
      </c>
      <c r="C228" s="2">
        <v>61</v>
      </c>
    </row>
    <row r="229" spans="1:3" x14ac:dyDescent="0.35">
      <c r="A229" s="2">
        <v>36348</v>
      </c>
      <c r="B229" s="2" t="s">
        <v>862</v>
      </c>
      <c r="C229" s="2">
        <v>61</v>
      </c>
    </row>
    <row r="230" spans="1:3" x14ac:dyDescent="0.35">
      <c r="A230" s="2">
        <v>36401</v>
      </c>
      <c r="B230" s="2" t="s">
        <v>863</v>
      </c>
      <c r="C230" s="2">
        <v>61</v>
      </c>
    </row>
    <row r="231" spans="1:3" x14ac:dyDescent="0.35">
      <c r="A231" s="2">
        <v>36402</v>
      </c>
      <c r="B231" s="2" t="s">
        <v>864</v>
      </c>
      <c r="C231" s="2">
        <v>61</v>
      </c>
    </row>
    <row r="232" spans="1:3" x14ac:dyDescent="0.35">
      <c r="A232" s="2">
        <v>36403</v>
      </c>
      <c r="B232" s="2" t="s">
        <v>865</v>
      </c>
      <c r="C232" s="2">
        <v>61</v>
      </c>
    </row>
    <row r="233" spans="1:3" x14ac:dyDescent="0.35">
      <c r="A233" s="2">
        <v>36404</v>
      </c>
      <c r="B233" s="2" t="s">
        <v>866</v>
      </c>
      <c r="C233" s="2">
        <v>61</v>
      </c>
    </row>
    <row r="234" spans="1:3" x14ac:dyDescent="0.35">
      <c r="A234" s="2">
        <v>36405</v>
      </c>
      <c r="B234" s="2" t="s">
        <v>867</v>
      </c>
      <c r="C234" s="2">
        <v>61</v>
      </c>
    </row>
    <row r="235" spans="1:3" x14ac:dyDescent="0.35">
      <c r="A235" s="2">
        <v>36406</v>
      </c>
      <c r="B235" s="2" t="s">
        <v>868</v>
      </c>
      <c r="C235" s="2">
        <v>61</v>
      </c>
    </row>
    <row r="236" spans="1:3" x14ac:dyDescent="0.35">
      <c r="A236" s="2">
        <v>36407</v>
      </c>
      <c r="B236" s="2" t="s">
        <v>869</v>
      </c>
      <c r="C236" s="2">
        <v>61</v>
      </c>
    </row>
    <row r="237" spans="1:3" x14ac:dyDescent="0.35">
      <c r="A237" s="2">
        <v>36408</v>
      </c>
      <c r="B237" s="2" t="s">
        <v>870</v>
      </c>
      <c r="C237" s="2">
        <v>61</v>
      </c>
    </row>
    <row r="238" spans="1:3" x14ac:dyDescent="0.35">
      <c r="A238" s="2">
        <v>36409</v>
      </c>
      <c r="B238" s="2" t="s">
        <v>871</v>
      </c>
      <c r="C238" s="2">
        <v>61</v>
      </c>
    </row>
    <row r="239" spans="1:3" x14ac:dyDescent="0.35">
      <c r="A239" s="2">
        <v>36410</v>
      </c>
      <c r="B239" s="2" t="s">
        <v>872</v>
      </c>
      <c r="C239" s="2">
        <v>61</v>
      </c>
    </row>
    <row r="240" spans="1:3" x14ac:dyDescent="0.35">
      <c r="A240" s="2">
        <v>36411</v>
      </c>
      <c r="B240" s="2" t="s">
        <v>873</v>
      </c>
      <c r="C240" s="2">
        <v>61</v>
      </c>
    </row>
    <row r="241" spans="1:3" x14ac:dyDescent="0.35">
      <c r="A241" s="2">
        <v>36412</v>
      </c>
      <c r="B241" s="2" t="s">
        <v>874</v>
      </c>
      <c r="C241" s="2">
        <v>61</v>
      </c>
    </row>
    <row r="242" spans="1:3" x14ac:dyDescent="0.35">
      <c r="A242" s="2">
        <v>36413</v>
      </c>
      <c r="B242" s="2" t="s">
        <v>875</v>
      </c>
      <c r="C242" s="2">
        <v>61</v>
      </c>
    </row>
    <row r="243" spans="1:3" x14ac:dyDescent="0.35">
      <c r="A243" s="2">
        <v>36414</v>
      </c>
      <c r="B243" s="2" t="s">
        <v>876</v>
      </c>
      <c r="C243" s="2">
        <v>61</v>
      </c>
    </row>
    <row r="244" spans="1:3" x14ac:dyDescent="0.35">
      <c r="A244" s="2">
        <v>36415</v>
      </c>
      <c r="B244" s="2" t="s">
        <v>877</v>
      </c>
      <c r="C244" s="2">
        <v>61</v>
      </c>
    </row>
    <row r="245" spans="1:3" x14ac:dyDescent="0.35">
      <c r="A245" s="2">
        <v>36416</v>
      </c>
      <c r="B245" s="2" t="s">
        <v>878</v>
      </c>
      <c r="C245" s="2">
        <v>61</v>
      </c>
    </row>
    <row r="246" spans="1:3" x14ac:dyDescent="0.35">
      <c r="A246" s="2">
        <v>36417</v>
      </c>
      <c r="B246" s="2" t="s">
        <v>879</v>
      </c>
      <c r="C246" s="2">
        <v>61</v>
      </c>
    </row>
    <row r="247" spans="1:3" x14ac:dyDescent="0.35">
      <c r="A247" s="2">
        <v>36418</v>
      </c>
      <c r="B247" s="2" t="s">
        <v>880</v>
      </c>
      <c r="C247" s="2">
        <v>61</v>
      </c>
    </row>
    <row r="248" spans="1:3" x14ac:dyDescent="0.35">
      <c r="A248" s="2">
        <v>36419</v>
      </c>
      <c r="B248" s="2" t="s">
        <v>881</v>
      </c>
      <c r="C248" s="2">
        <v>61</v>
      </c>
    </row>
    <row r="249" spans="1:3" x14ac:dyDescent="0.35">
      <c r="A249" s="2">
        <v>36420</v>
      </c>
      <c r="B249" s="2" t="s">
        <v>882</v>
      </c>
      <c r="C249" s="2">
        <v>61</v>
      </c>
    </row>
    <row r="250" spans="1:3" x14ac:dyDescent="0.35">
      <c r="A250" s="2">
        <v>36421</v>
      </c>
      <c r="B250" s="2" t="s">
        <v>883</v>
      </c>
      <c r="C250" s="2">
        <v>61</v>
      </c>
    </row>
    <row r="251" spans="1:3" x14ac:dyDescent="0.35">
      <c r="A251" s="2">
        <v>36422</v>
      </c>
      <c r="B251" s="2" t="s">
        <v>884</v>
      </c>
      <c r="C251" s="2">
        <v>61</v>
      </c>
    </row>
    <row r="252" spans="1:3" x14ac:dyDescent="0.35">
      <c r="A252" s="2">
        <v>36423</v>
      </c>
      <c r="B252" s="2" t="s">
        <v>885</v>
      </c>
      <c r="C252" s="2">
        <v>61</v>
      </c>
    </row>
    <row r="253" spans="1:3" x14ac:dyDescent="0.35">
      <c r="A253" s="2">
        <v>36424</v>
      </c>
      <c r="B253" s="2" t="s">
        <v>886</v>
      </c>
      <c r="C253" s="2">
        <v>61</v>
      </c>
    </row>
    <row r="254" spans="1:3" x14ac:dyDescent="0.35">
      <c r="A254" s="2">
        <v>36425</v>
      </c>
      <c r="B254" s="2" t="s">
        <v>887</v>
      </c>
      <c r="C254" s="2">
        <v>61</v>
      </c>
    </row>
    <row r="255" spans="1:3" x14ac:dyDescent="0.35">
      <c r="A255" s="2">
        <v>36426</v>
      </c>
      <c r="B255" s="2" t="s">
        <v>888</v>
      </c>
      <c r="C255" s="2">
        <v>61</v>
      </c>
    </row>
    <row r="256" spans="1:3" x14ac:dyDescent="0.35">
      <c r="A256" s="2">
        <v>36427</v>
      </c>
      <c r="B256" s="2" t="s">
        <v>889</v>
      </c>
      <c r="C256" s="2">
        <v>61</v>
      </c>
    </row>
    <row r="257" spans="1:3" x14ac:dyDescent="0.35">
      <c r="A257" s="2">
        <v>36428</v>
      </c>
      <c r="B257" s="2" t="s">
        <v>890</v>
      </c>
      <c r="C257" s="2">
        <v>61</v>
      </c>
    </row>
    <row r="258" spans="1:3" x14ac:dyDescent="0.35">
      <c r="A258" s="2">
        <v>36429</v>
      </c>
      <c r="B258" s="2" t="s">
        <v>891</v>
      </c>
      <c r="C258" s="2">
        <v>61</v>
      </c>
    </row>
    <row r="259" spans="1:3" x14ac:dyDescent="0.35">
      <c r="A259" s="2">
        <v>36430</v>
      </c>
      <c r="B259" s="2" t="s">
        <v>892</v>
      </c>
      <c r="C259" s="2">
        <v>61</v>
      </c>
    </row>
    <row r="260" spans="1:3" x14ac:dyDescent="0.35">
      <c r="A260" s="2">
        <v>36431</v>
      </c>
      <c r="B260" s="2" t="s">
        <v>893</v>
      </c>
      <c r="C260" s="2">
        <v>61</v>
      </c>
    </row>
    <row r="261" spans="1:3" x14ac:dyDescent="0.35">
      <c r="A261" s="2">
        <v>36432</v>
      </c>
      <c r="B261" s="2" t="s">
        <v>894</v>
      </c>
      <c r="C261" s="2">
        <v>61</v>
      </c>
    </row>
    <row r="262" spans="1:3" x14ac:dyDescent="0.35">
      <c r="A262" s="2">
        <v>36433</v>
      </c>
      <c r="B262" s="2" t="s">
        <v>895</v>
      </c>
      <c r="C262" s="2">
        <v>61</v>
      </c>
    </row>
    <row r="263" spans="1:3" x14ac:dyDescent="0.35">
      <c r="A263" s="2">
        <v>36434</v>
      </c>
      <c r="B263" s="2" t="s">
        <v>896</v>
      </c>
      <c r="C263" s="2">
        <v>61</v>
      </c>
    </row>
    <row r="264" spans="1:3" x14ac:dyDescent="0.35">
      <c r="A264" s="2">
        <v>36435</v>
      </c>
      <c r="B264" s="2" t="s">
        <v>897</v>
      </c>
      <c r="C264" s="2">
        <v>61</v>
      </c>
    </row>
    <row r="265" spans="1:3" x14ac:dyDescent="0.35">
      <c r="A265" s="2">
        <v>36448</v>
      </c>
      <c r="B265" s="2" t="s">
        <v>898</v>
      </c>
      <c r="C265" s="2">
        <v>61</v>
      </c>
    </row>
    <row r="266" spans="1:3" x14ac:dyDescent="0.35">
      <c r="A266" s="2">
        <v>36501</v>
      </c>
      <c r="B266" s="2" t="s">
        <v>899</v>
      </c>
      <c r="C266" s="2">
        <v>61</v>
      </c>
    </row>
    <row r="267" spans="1:3" x14ac:dyDescent="0.35">
      <c r="A267" s="2">
        <v>36502</v>
      </c>
      <c r="B267" s="2" t="s">
        <v>902</v>
      </c>
      <c r="C267" s="2">
        <v>61</v>
      </c>
    </row>
    <row r="268" spans="1:3" x14ac:dyDescent="0.35">
      <c r="A268" s="2">
        <v>36503</v>
      </c>
      <c r="B268" s="2" t="s">
        <v>903</v>
      </c>
      <c r="C268" s="2">
        <v>61</v>
      </c>
    </row>
    <row r="269" spans="1:3" x14ac:dyDescent="0.35">
      <c r="A269" s="2">
        <v>36504</v>
      </c>
      <c r="B269" s="2" t="s">
        <v>904</v>
      </c>
      <c r="C269" s="2">
        <v>61</v>
      </c>
    </row>
    <row r="270" spans="1:3" x14ac:dyDescent="0.35">
      <c r="A270" s="2">
        <v>36505</v>
      </c>
      <c r="B270" s="2" t="s">
        <v>905</v>
      </c>
      <c r="C270" s="2">
        <v>61</v>
      </c>
    </row>
    <row r="271" spans="1:3" x14ac:dyDescent="0.35">
      <c r="A271" s="2">
        <v>36506</v>
      </c>
      <c r="B271" s="2" t="s">
        <v>906</v>
      </c>
      <c r="C271" s="2">
        <v>61</v>
      </c>
    </row>
    <row r="272" spans="1:3" x14ac:dyDescent="0.35">
      <c r="A272" s="2">
        <v>36507</v>
      </c>
      <c r="B272" s="2" t="s">
        <v>907</v>
      </c>
      <c r="C272" s="2">
        <v>61</v>
      </c>
    </row>
    <row r="273" spans="1:3" x14ac:dyDescent="0.35">
      <c r="A273" s="2">
        <v>36508</v>
      </c>
      <c r="B273" s="2" t="s">
        <v>908</v>
      </c>
      <c r="C273" s="2">
        <v>61</v>
      </c>
    </row>
    <row r="274" spans="1:3" x14ac:dyDescent="0.35">
      <c r="A274" s="2">
        <v>36509</v>
      </c>
      <c r="B274" s="2" t="s">
        <v>909</v>
      </c>
      <c r="C274" s="2">
        <v>61</v>
      </c>
    </row>
    <row r="275" spans="1:3" x14ac:dyDescent="0.35">
      <c r="A275" s="2">
        <v>36510</v>
      </c>
      <c r="B275" s="2" t="s">
        <v>910</v>
      </c>
      <c r="C275" s="2">
        <v>61</v>
      </c>
    </row>
    <row r="276" spans="1:3" x14ac:dyDescent="0.35">
      <c r="A276" s="2">
        <v>36548</v>
      </c>
      <c r="B276" s="2" t="s">
        <v>911</v>
      </c>
      <c r="C276" s="2">
        <v>61</v>
      </c>
    </row>
    <row r="277" spans="1:3" x14ac:dyDescent="0.35">
      <c r="A277" s="2">
        <v>36601</v>
      </c>
      <c r="B277" s="2" t="s">
        <v>912</v>
      </c>
      <c r="C277" s="2">
        <v>61</v>
      </c>
    </row>
    <row r="278" spans="1:3" x14ac:dyDescent="0.35">
      <c r="A278" s="2">
        <v>36603</v>
      </c>
      <c r="B278" s="2" t="s">
        <v>913</v>
      </c>
      <c r="C278" s="2">
        <v>61</v>
      </c>
    </row>
    <row r="279" spans="1:3" x14ac:dyDescent="0.35">
      <c r="A279" s="2">
        <v>36605</v>
      </c>
      <c r="B279" s="2" t="s">
        <v>914</v>
      </c>
      <c r="C279" s="2">
        <v>61</v>
      </c>
    </row>
    <row r="280" spans="1:3" x14ac:dyDescent="0.35">
      <c r="A280" s="2">
        <v>36606</v>
      </c>
      <c r="B280" s="2" t="s">
        <v>915</v>
      </c>
      <c r="C280" s="2">
        <v>61</v>
      </c>
    </row>
    <row r="281" spans="1:3" x14ac:dyDescent="0.35">
      <c r="A281" s="2">
        <v>36607</v>
      </c>
      <c r="B281" s="2" t="s">
        <v>916</v>
      </c>
      <c r="C281" s="2">
        <v>61</v>
      </c>
    </row>
    <row r="282" spans="1:3" x14ac:dyDescent="0.35">
      <c r="A282" s="2">
        <v>36608</v>
      </c>
      <c r="B282" s="2" t="s">
        <v>917</v>
      </c>
      <c r="C282" s="2">
        <v>61</v>
      </c>
    </row>
    <row r="283" spans="1:3" x14ac:dyDescent="0.35">
      <c r="A283" s="2">
        <v>36609</v>
      </c>
      <c r="B283" s="2" t="s">
        <v>918</v>
      </c>
      <c r="C283" s="2">
        <v>61</v>
      </c>
    </row>
    <row r="284" spans="1:3" x14ac:dyDescent="0.35">
      <c r="A284" s="2">
        <v>36610</v>
      </c>
      <c r="B284" s="2" t="s">
        <v>919</v>
      </c>
      <c r="C284" s="2">
        <v>61</v>
      </c>
    </row>
    <row r="285" spans="1:3" x14ac:dyDescent="0.35">
      <c r="A285" s="2">
        <v>36611</v>
      </c>
      <c r="B285" s="2" t="s">
        <v>920</v>
      </c>
      <c r="C285" s="2">
        <v>61</v>
      </c>
    </row>
    <row r="286" spans="1:3" x14ac:dyDescent="0.35">
      <c r="A286" s="2">
        <v>36612</v>
      </c>
      <c r="B286" s="2" t="s">
        <v>921</v>
      </c>
      <c r="C286" s="2">
        <v>61</v>
      </c>
    </row>
    <row r="287" spans="1:3" x14ac:dyDescent="0.35">
      <c r="A287" s="2">
        <v>36613</v>
      </c>
      <c r="B287" s="2" t="s">
        <v>922</v>
      </c>
      <c r="C287" s="2">
        <v>61</v>
      </c>
    </row>
    <row r="288" spans="1:3" x14ac:dyDescent="0.35">
      <c r="A288" s="2">
        <v>36614</v>
      </c>
      <c r="B288" s="2" t="s">
        <v>923</v>
      </c>
      <c r="C288" s="2">
        <v>61</v>
      </c>
    </row>
    <row r="289" spans="1:3" x14ac:dyDescent="0.35">
      <c r="A289" s="2">
        <v>36615</v>
      </c>
      <c r="B289" s="2" t="s">
        <v>924</v>
      </c>
      <c r="C289" s="2">
        <v>61</v>
      </c>
    </row>
    <row r="290" spans="1:3" x14ac:dyDescent="0.35">
      <c r="A290" s="2">
        <v>36648</v>
      </c>
      <c r="B290" s="2" t="s">
        <v>925</v>
      </c>
      <c r="C290" s="2">
        <v>61</v>
      </c>
    </row>
    <row r="291" spans="1:3" x14ac:dyDescent="0.35">
      <c r="A291" s="2">
        <v>36701</v>
      </c>
      <c r="B291" s="2" t="s">
        <v>926</v>
      </c>
      <c r="C291" s="2">
        <v>61</v>
      </c>
    </row>
    <row r="292" spans="1:3" x14ac:dyDescent="0.35">
      <c r="A292" s="2">
        <v>36702</v>
      </c>
      <c r="B292" s="2" t="s">
        <v>927</v>
      </c>
      <c r="C292" s="2">
        <v>61</v>
      </c>
    </row>
    <row r="293" spans="1:3" x14ac:dyDescent="0.35">
      <c r="A293" s="2">
        <v>36703</v>
      </c>
      <c r="B293" s="2" t="s">
        <v>928</v>
      </c>
      <c r="C293" s="2">
        <v>61</v>
      </c>
    </row>
    <row r="294" spans="1:3" x14ac:dyDescent="0.35">
      <c r="A294" s="2">
        <v>36704</v>
      </c>
      <c r="B294" s="2" t="s">
        <v>929</v>
      </c>
      <c r="C294" s="2">
        <v>61</v>
      </c>
    </row>
    <row r="295" spans="1:3" x14ac:dyDescent="0.35">
      <c r="A295" s="2">
        <v>36705</v>
      </c>
      <c r="B295" s="2" t="s">
        <v>930</v>
      </c>
      <c r="C295" s="2">
        <v>61</v>
      </c>
    </row>
    <row r="296" spans="1:3" x14ac:dyDescent="0.35">
      <c r="A296" s="2">
        <v>36706</v>
      </c>
      <c r="B296" s="2" t="s">
        <v>931</v>
      </c>
      <c r="C296" s="2">
        <v>61</v>
      </c>
    </row>
    <row r="297" spans="1:3" x14ac:dyDescent="0.35">
      <c r="A297" s="2">
        <v>36707</v>
      </c>
      <c r="B297" s="2" t="s">
        <v>932</v>
      </c>
      <c r="C297" s="2">
        <v>61</v>
      </c>
    </row>
    <row r="298" spans="1:3" x14ac:dyDescent="0.35">
      <c r="A298" s="2">
        <v>36708</v>
      </c>
      <c r="B298" s="2" t="s">
        <v>933</v>
      </c>
      <c r="C298" s="2">
        <v>61</v>
      </c>
    </row>
    <row r="299" spans="1:3" x14ac:dyDescent="0.35">
      <c r="A299" s="2">
        <v>36709</v>
      </c>
      <c r="B299" s="2" t="s">
        <v>934</v>
      </c>
      <c r="C299" s="2">
        <v>61</v>
      </c>
    </row>
    <row r="300" spans="1:3" x14ac:dyDescent="0.35">
      <c r="A300" s="2">
        <v>36710</v>
      </c>
      <c r="B300" s="2" t="s">
        <v>935</v>
      </c>
      <c r="C300" s="2">
        <v>61</v>
      </c>
    </row>
    <row r="301" spans="1:3" x14ac:dyDescent="0.35">
      <c r="A301" s="2">
        <v>36711</v>
      </c>
      <c r="B301" s="2" t="s">
        <v>936</v>
      </c>
      <c r="C301" s="2">
        <v>61</v>
      </c>
    </row>
    <row r="302" spans="1:3" x14ac:dyDescent="0.35">
      <c r="A302" s="2">
        <v>36712</v>
      </c>
      <c r="B302" s="2" t="s">
        <v>937</v>
      </c>
      <c r="C302" s="2">
        <v>61</v>
      </c>
    </row>
    <row r="303" spans="1:3" x14ac:dyDescent="0.35">
      <c r="A303" s="2">
        <v>36713</v>
      </c>
      <c r="B303" s="2" t="s">
        <v>938</v>
      </c>
      <c r="C303" s="2">
        <v>61</v>
      </c>
    </row>
    <row r="304" spans="1:3" x14ac:dyDescent="0.35">
      <c r="A304" s="2">
        <v>36714</v>
      </c>
      <c r="B304" s="2" t="s">
        <v>939</v>
      </c>
      <c r="C304" s="2">
        <v>61</v>
      </c>
    </row>
    <row r="305" spans="1:3" x14ac:dyDescent="0.35">
      <c r="A305" s="2">
        <v>36715</v>
      </c>
      <c r="B305" s="2" t="s">
        <v>940</v>
      </c>
      <c r="C305" s="2">
        <v>61</v>
      </c>
    </row>
    <row r="306" spans="1:3" x14ac:dyDescent="0.35">
      <c r="A306" s="2">
        <v>36716</v>
      </c>
      <c r="B306" s="2" t="s">
        <v>941</v>
      </c>
      <c r="C306" s="2">
        <v>61</v>
      </c>
    </row>
    <row r="307" spans="1:3" x14ac:dyDescent="0.35">
      <c r="A307" s="2">
        <v>36717</v>
      </c>
      <c r="B307" s="2" t="s">
        <v>942</v>
      </c>
      <c r="C307" s="2">
        <v>61</v>
      </c>
    </row>
    <row r="308" spans="1:3" x14ac:dyDescent="0.35">
      <c r="A308" s="2">
        <v>36718</v>
      </c>
      <c r="B308" s="2" t="s">
        <v>943</v>
      </c>
      <c r="C308" s="2">
        <v>61</v>
      </c>
    </row>
    <row r="309" spans="1:3" x14ac:dyDescent="0.35">
      <c r="A309" s="2">
        <v>36719</v>
      </c>
      <c r="B309" s="2" t="s">
        <v>944</v>
      </c>
      <c r="C309" s="2">
        <v>61</v>
      </c>
    </row>
    <row r="310" spans="1:3" x14ac:dyDescent="0.35">
      <c r="A310" s="2">
        <v>36720</v>
      </c>
      <c r="B310" s="2" t="s">
        <v>945</v>
      </c>
      <c r="C310" s="2">
        <v>61</v>
      </c>
    </row>
    <row r="311" spans="1:3" x14ac:dyDescent="0.35">
      <c r="A311" s="2">
        <v>36748</v>
      </c>
      <c r="B311" s="2" t="s">
        <v>946</v>
      </c>
      <c r="C311" s="2">
        <v>61</v>
      </c>
    </row>
    <row r="312" spans="1:3" x14ac:dyDescent="0.35">
      <c r="A312" s="2">
        <v>36801</v>
      </c>
      <c r="B312" s="2" t="s">
        <v>947</v>
      </c>
      <c r="C312" s="2">
        <v>61</v>
      </c>
    </row>
    <row r="313" spans="1:3" x14ac:dyDescent="0.35">
      <c r="A313" s="2">
        <v>36802</v>
      </c>
      <c r="B313" s="2" t="s">
        <v>948</v>
      </c>
      <c r="C313" s="2">
        <v>61</v>
      </c>
    </row>
    <row r="314" spans="1:3" x14ac:dyDescent="0.35">
      <c r="A314" s="2">
        <v>36803</v>
      </c>
      <c r="B314" s="2" t="s">
        <v>949</v>
      </c>
      <c r="C314" s="2">
        <v>61</v>
      </c>
    </row>
    <row r="315" spans="1:3" x14ac:dyDescent="0.35">
      <c r="A315" s="2">
        <v>36804</v>
      </c>
      <c r="B315" s="2" t="s">
        <v>950</v>
      </c>
      <c r="C315" s="2">
        <v>61</v>
      </c>
    </row>
    <row r="316" spans="1:3" x14ac:dyDescent="0.35">
      <c r="A316" s="2">
        <v>36805</v>
      </c>
      <c r="B316" s="2" t="s">
        <v>951</v>
      </c>
      <c r="C316" s="2">
        <v>61</v>
      </c>
    </row>
    <row r="317" spans="1:3" x14ac:dyDescent="0.35">
      <c r="A317" s="2">
        <v>36806</v>
      </c>
      <c r="B317" s="2" t="s">
        <v>952</v>
      </c>
      <c r="C317" s="2">
        <v>61</v>
      </c>
    </row>
    <row r="318" spans="1:3" x14ac:dyDescent="0.35">
      <c r="A318" s="2">
        <v>36807</v>
      </c>
      <c r="B318" s="2" t="s">
        <v>953</v>
      </c>
      <c r="C318" s="2">
        <v>61</v>
      </c>
    </row>
    <row r="319" spans="1:3" x14ac:dyDescent="0.35">
      <c r="A319" s="2">
        <v>36808</v>
      </c>
      <c r="B319" s="2" t="s">
        <v>954</v>
      </c>
      <c r="C319" s="2">
        <v>61</v>
      </c>
    </row>
    <row r="320" spans="1:3" x14ac:dyDescent="0.35">
      <c r="A320" s="2">
        <v>36809</v>
      </c>
      <c r="B320" s="2" t="s">
        <v>955</v>
      </c>
      <c r="C320" s="2">
        <v>61</v>
      </c>
    </row>
    <row r="321" spans="1:3" x14ac:dyDescent="0.35">
      <c r="A321" s="2">
        <v>36810</v>
      </c>
      <c r="B321" s="2" t="s">
        <v>956</v>
      </c>
      <c r="C321" s="2">
        <v>61</v>
      </c>
    </row>
    <row r="322" spans="1:3" x14ac:dyDescent="0.35">
      <c r="A322" s="2">
        <v>36811</v>
      </c>
      <c r="B322" s="2" t="s">
        <v>957</v>
      </c>
      <c r="C322" s="2">
        <v>61</v>
      </c>
    </row>
    <row r="323" spans="1:3" x14ac:dyDescent="0.35">
      <c r="A323" s="2">
        <v>36812</v>
      </c>
      <c r="B323" s="2" t="s">
        <v>958</v>
      </c>
      <c r="C323" s="2">
        <v>61</v>
      </c>
    </row>
    <row r="324" spans="1:3" x14ac:dyDescent="0.35">
      <c r="A324" s="2">
        <v>36813</v>
      </c>
      <c r="B324" s="2" t="s">
        <v>959</v>
      </c>
      <c r="C324" s="2">
        <v>61</v>
      </c>
    </row>
    <row r="325" spans="1:3" x14ac:dyDescent="0.35">
      <c r="A325" s="2">
        <v>36814</v>
      </c>
      <c r="B325" s="2" t="s">
        <v>960</v>
      </c>
      <c r="C325" s="2">
        <v>61</v>
      </c>
    </row>
    <row r="326" spans="1:3" x14ac:dyDescent="0.35">
      <c r="A326" s="2">
        <v>36815</v>
      </c>
      <c r="B326" s="2" t="s">
        <v>961</v>
      </c>
      <c r="C326" s="2">
        <v>61</v>
      </c>
    </row>
    <row r="327" spans="1:3" x14ac:dyDescent="0.35">
      <c r="A327" s="2">
        <v>36816</v>
      </c>
      <c r="B327" s="2" t="s">
        <v>962</v>
      </c>
      <c r="C327" s="2">
        <v>61</v>
      </c>
    </row>
    <row r="328" spans="1:3" x14ac:dyDescent="0.35">
      <c r="A328" s="2">
        <v>36817</v>
      </c>
      <c r="B328" s="2" t="s">
        <v>963</v>
      </c>
      <c r="C328" s="2">
        <v>61</v>
      </c>
    </row>
    <row r="329" spans="1:3" x14ac:dyDescent="0.35">
      <c r="A329" s="2">
        <v>36848</v>
      </c>
      <c r="B329" s="2" t="s">
        <v>964</v>
      </c>
      <c r="C329" s="2">
        <v>61</v>
      </c>
    </row>
    <row r="330" spans="1:3" x14ac:dyDescent="0.35">
      <c r="A330" s="2">
        <v>37101</v>
      </c>
      <c r="B330" s="2" t="s">
        <v>965</v>
      </c>
      <c r="C330" s="2">
        <v>61</v>
      </c>
    </row>
    <row r="331" spans="1:3" x14ac:dyDescent="0.35">
      <c r="A331" s="2">
        <v>37201</v>
      </c>
      <c r="B331" s="2" t="s">
        <v>966</v>
      </c>
      <c r="C331" s="2">
        <v>61</v>
      </c>
    </row>
    <row r="332" spans="1:3" x14ac:dyDescent="0.35">
      <c r="A332" s="2">
        <v>37301</v>
      </c>
      <c r="B332" s="2" t="s">
        <v>967</v>
      </c>
      <c r="C332" s="2">
        <v>61</v>
      </c>
    </row>
    <row r="333" spans="1:3" x14ac:dyDescent="0.35">
      <c r="A333" s="2">
        <v>37401</v>
      </c>
      <c r="B333" s="2" t="s">
        <v>968</v>
      </c>
      <c r="C333" s="2">
        <v>61</v>
      </c>
    </row>
    <row r="334" spans="1:3" x14ac:dyDescent="0.35">
      <c r="A334" s="2">
        <v>37402</v>
      </c>
      <c r="B334" s="2" t="s">
        <v>969</v>
      </c>
      <c r="C334" s="2">
        <v>61</v>
      </c>
    </row>
    <row r="335" spans="1:3" x14ac:dyDescent="0.35">
      <c r="A335" s="2">
        <v>37403</v>
      </c>
      <c r="B335" s="2" t="s">
        <v>970</v>
      </c>
      <c r="C335" s="2">
        <v>61</v>
      </c>
    </row>
    <row r="336" spans="1:3" x14ac:dyDescent="0.35">
      <c r="A336" s="2">
        <v>37501</v>
      </c>
      <c r="B336" s="2" t="s">
        <v>971</v>
      </c>
      <c r="C336" s="2">
        <v>61</v>
      </c>
    </row>
    <row r="337" spans="1:3" x14ac:dyDescent="0.35">
      <c r="A337" s="2">
        <v>37601</v>
      </c>
      <c r="B337" s="2" t="s">
        <v>972</v>
      </c>
      <c r="C337" s="2">
        <v>61</v>
      </c>
    </row>
    <row r="338" spans="1:3" x14ac:dyDescent="0.35">
      <c r="A338" s="2">
        <v>37701</v>
      </c>
      <c r="B338" s="2" t="s">
        <v>973</v>
      </c>
      <c r="C338" s="2">
        <v>61</v>
      </c>
    </row>
    <row r="339" spans="1:3" x14ac:dyDescent="0.35">
      <c r="A339" s="2">
        <v>37702</v>
      </c>
      <c r="B339" s="2" t="s">
        <v>974</v>
      </c>
      <c r="C339" s="2">
        <v>61</v>
      </c>
    </row>
    <row r="340" spans="1:3" x14ac:dyDescent="0.35">
      <c r="A340" s="2">
        <v>37748</v>
      </c>
      <c r="B340" s="2" t="s">
        <v>975</v>
      </c>
      <c r="C340" s="2">
        <v>61</v>
      </c>
    </row>
    <row r="341" spans="1:3" x14ac:dyDescent="0.35">
      <c r="A341" s="2">
        <v>38001</v>
      </c>
      <c r="B341" s="2" t="s">
        <v>976</v>
      </c>
      <c r="C341" s="2">
        <v>61</v>
      </c>
    </row>
    <row r="342" spans="1:3" x14ac:dyDescent="0.35">
      <c r="A342" s="2">
        <v>38002</v>
      </c>
      <c r="B342" s="2" t="s">
        <v>977</v>
      </c>
      <c r="C342" s="2">
        <v>61</v>
      </c>
    </row>
    <row r="343" spans="1:3" x14ac:dyDescent="0.35">
      <c r="A343" s="2">
        <v>38003</v>
      </c>
      <c r="B343" s="2" t="s">
        <v>978</v>
      </c>
      <c r="C343" s="2">
        <v>61</v>
      </c>
    </row>
    <row r="344" spans="1:3" x14ac:dyDescent="0.35">
      <c r="A344" s="2">
        <v>38005</v>
      </c>
      <c r="B344" s="2" t="s">
        <v>979</v>
      </c>
      <c r="C344" s="2">
        <v>61</v>
      </c>
    </row>
    <row r="345" spans="1:3" x14ac:dyDescent="0.35">
      <c r="A345" s="2">
        <v>38006</v>
      </c>
      <c r="B345" s="2" t="s">
        <v>980</v>
      </c>
      <c r="C345" s="2">
        <v>61</v>
      </c>
    </row>
    <row r="346" spans="1:3" x14ac:dyDescent="0.35">
      <c r="A346" s="2">
        <v>38048</v>
      </c>
      <c r="B346" s="2" t="s">
        <v>981</v>
      </c>
      <c r="C346" s="2">
        <v>61</v>
      </c>
    </row>
    <row r="347" spans="1:3" x14ac:dyDescent="0.35">
      <c r="A347" s="2">
        <v>40601</v>
      </c>
      <c r="B347" s="2" t="s">
        <v>982</v>
      </c>
      <c r="C347" s="2">
        <v>61</v>
      </c>
    </row>
    <row r="348" spans="1:3" x14ac:dyDescent="0.35">
      <c r="A348" s="2">
        <v>41301</v>
      </c>
      <c r="B348" s="2" t="s">
        <v>983</v>
      </c>
      <c r="C348" s="2">
        <v>72</v>
      </c>
    </row>
    <row r="349" spans="1:3" x14ac:dyDescent="0.35">
      <c r="A349" s="2">
        <v>41348</v>
      </c>
      <c r="B349" s="2" t="s">
        <v>984</v>
      </c>
      <c r="C349" s="2">
        <v>72</v>
      </c>
    </row>
    <row r="350" spans="1:3" x14ac:dyDescent="0.35">
      <c r="A350" s="2">
        <v>41501</v>
      </c>
      <c r="B350" s="2" t="s">
        <v>985</v>
      </c>
      <c r="C350" s="2">
        <v>72</v>
      </c>
    </row>
    <row r="351" spans="1:3" x14ac:dyDescent="0.35">
      <c r="A351" s="2">
        <v>41502</v>
      </c>
      <c r="B351" s="2" t="s">
        <v>0</v>
      </c>
      <c r="C351" s="2">
        <v>72</v>
      </c>
    </row>
    <row r="352" spans="1:3" x14ac:dyDescent="0.35">
      <c r="A352" s="2">
        <v>43101</v>
      </c>
      <c r="B352" s="2" t="s">
        <v>1</v>
      </c>
      <c r="C352" s="2">
        <v>72</v>
      </c>
    </row>
    <row r="353" spans="1:3" x14ac:dyDescent="0.35">
      <c r="A353" s="2">
        <v>43201</v>
      </c>
      <c r="B353" s="2" t="s">
        <v>2</v>
      </c>
      <c r="C353" s="2">
        <v>72</v>
      </c>
    </row>
    <row r="354" spans="1:3" x14ac:dyDescent="0.35">
      <c r="A354" s="2">
        <v>43301</v>
      </c>
      <c r="B354" s="2" t="s">
        <v>3</v>
      </c>
      <c r="C354" s="2">
        <v>72</v>
      </c>
    </row>
    <row r="355" spans="1:3" x14ac:dyDescent="0.35">
      <c r="A355" s="2">
        <v>43401</v>
      </c>
      <c r="B355" s="2" t="s">
        <v>4</v>
      </c>
      <c r="C355" s="2">
        <v>72</v>
      </c>
    </row>
    <row r="356" spans="1:3" x14ac:dyDescent="0.35">
      <c r="A356" s="2">
        <v>43501</v>
      </c>
      <c r="B356" s="2" t="s">
        <v>5</v>
      </c>
      <c r="C356" s="2">
        <v>72</v>
      </c>
    </row>
    <row r="357" spans="1:3" x14ac:dyDescent="0.35">
      <c r="A357" s="2">
        <v>43502</v>
      </c>
      <c r="B357" s="2" t="s">
        <v>6</v>
      </c>
      <c r="C357" s="2">
        <v>72</v>
      </c>
    </row>
    <row r="358" spans="1:3" x14ac:dyDescent="0.35">
      <c r="A358" s="2">
        <v>44101</v>
      </c>
      <c r="B358" s="2" t="s">
        <v>7</v>
      </c>
      <c r="C358" s="2">
        <v>72</v>
      </c>
    </row>
    <row r="359" spans="1:3" x14ac:dyDescent="0.35">
      <c r="A359" s="2">
        <v>44201</v>
      </c>
      <c r="B359" s="2" t="s">
        <v>8</v>
      </c>
      <c r="C359" s="2">
        <v>72</v>
      </c>
    </row>
    <row r="360" spans="1:3" x14ac:dyDescent="0.35">
      <c r="A360" s="2">
        <v>44301</v>
      </c>
      <c r="B360" s="2" t="s">
        <v>9</v>
      </c>
      <c r="C360" s="2">
        <v>72</v>
      </c>
    </row>
    <row r="361" spans="1:3" x14ac:dyDescent="0.35">
      <c r="A361" s="2">
        <v>44348</v>
      </c>
      <c r="B361" s="2" t="s">
        <v>10</v>
      </c>
      <c r="C361" s="2">
        <v>72</v>
      </c>
    </row>
    <row r="362" spans="1:3" x14ac:dyDescent="0.35">
      <c r="A362" s="2">
        <v>44401</v>
      </c>
      <c r="B362" s="2" t="s">
        <v>11</v>
      </c>
      <c r="C362" s="2">
        <v>72</v>
      </c>
    </row>
    <row r="363" spans="1:3" x14ac:dyDescent="0.35">
      <c r="A363" s="2">
        <v>44501</v>
      </c>
      <c r="B363" s="2" t="s">
        <v>12</v>
      </c>
      <c r="C363" s="2">
        <v>72</v>
      </c>
    </row>
    <row r="364" spans="1:3" x14ac:dyDescent="0.35">
      <c r="A364" s="2">
        <v>46101</v>
      </c>
      <c r="B364" s="2" t="s">
        <v>13</v>
      </c>
      <c r="C364" s="2">
        <v>61</v>
      </c>
    </row>
    <row r="365" spans="1:3" x14ac:dyDescent="0.35">
      <c r="A365" s="2">
        <v>46201</v>
      </c>
      <c r="B365" s="2" t="s">
        <v>14</v>
      </c>
      <c r="C365" s="2">
        <v>61</v>
      </c>
    </row>
    <row r="366" spans="1:3" x14ac:dyDescent="0.35">
      <c r="A366" s="2">
        <v>46301</v>
      </c>
      <c r="B366" s="2" t="s">
        <v>15</v>
      </c>
      <c r="C366" s="2">
        <v>61</v>
      </c>
    </row>
    <row r="367" spans="1:3" x14ac:dyDescent="0.35">
      <c r="A367" s="2">
        <v>46302</v>
      </c>
      <c r="B367" s="2" t="s">
        <v>16</v>
      </c>
      <c r="C367" s="2">
        <v>61</v>
      </c>
    </row>
    <row r="368" spans="1:3" x14ac:dyDescent="0.35">
      <c r="A368" s="2">
        <v>46401</v>
      </c>
      <c r="B368" s="2" t="s">
        <v>17</v>
      </c>
      <c r="C368" s="2">
        <v>61</v>
      </c>
    </row>
    <row r="369" spans="1:3" x14ac:dyDescent="0.35">
      <c r="A369" s="2">
        <v>46501</v>
      </c>
      <c r="B369" s="2" t="s">
        <v>18</v>
      </c>
      <c r="C369" s="2">
        <v>61</v>
      </c>
    </row>
    <row r="370" spans="1:3" x14ac:dyDescent="0.35">
      <c r="A370" s="2">
        <v>46502</v>
      </c>
      <c r="B370" s="2" t="s">
        <v>19</v>
      </c>
      <c r="C370" s="2">
        <v>61</v>
      </c>
    </row>
    <row r="371" spans="1:3" x14ac:dyDescent="0.35">
      <c r="A371" s="2">
        <v>46503</v>
      </c>
      <c r="B371" s="2" t="s">
        <v>20</v>
      </c>
      <c r="C371" s="2">
        <v>61</v>
      </c>
    </row>
    <row r="372" spans="1:3" x14ac:dyDescent="0.35">
      <c r="A372" s="2">
        <v>46504</v>
      </c>
      <c r="B372" s="2" t="s">
        <v>21</v>
      </c>
      <c r="C372" s="2">
        <v>61</v>
      </c>
    </row>
    <row r="373" spans="1:3" x14ac:dyDescent="0.35">
      <c r="A373" s="2">
        <v>46505</v>
      </c>
      <c r="B373" s="2" t="s">
        <v>22</v>
      </c>
      <c r="C373" s="2">
        <v>61</v>
      </c>
    </row>
    <row r="374" spans="1:3" x14ac:dyDescent="0.35">
      <c r="A374" s="2">
        <v>46506</v>
      </c>
      <c r="B374" s="2" t="s">
        <v>23</v>
      </c>
      <c r="C374" s="2">
        <v>61</v>
      </c>
    </row>
    <row r="375" spans="1:3" x14ac:dyDescent="0.35">
      <c r="A375" s="2">
        <v>46548</v>
      </c>
      <c r="B375" s="2" t="s">
        <v>24</v>
      </c>
      <c r="C375" s="2">
        <v>61</v>
      </c>
    </row>
    <row r="376" spans="1:3" x14ac:dyDescent="0.35">
      <c r="A376" s="2">
        <v>46601</v>
      </c>
      <c r="B376" s="2" t="s">
        <v>25</v>
      </c>
      <c r="C376" s="2">
        <v>61</v>
      </c>
    </row>
    <row r="377" spans="1:3" x14ac:dyDescent="0.35">
      <c r="A377" s="2">
        <v>46602</v>
      </c>
      <c r="B377" s="2" t="s">
        <v>26</v>
      </c>
      <c r="C377" s="2">
        <v>61</v>
      </c>
    </row>
    <row r="378" spans="1:3" x14ac:dyDescent="0.35">
      <c r="A378" s="2">
        <v>46603</v>
      </c>
      <c r="B378" s="2" t="s">
        <v>27</v>
      </c>
      <c r="C378" s="2">
        <v>61</v>
      </c>
    </row>
    <row r="379" spans="1:3" x14ac:dyDescent="0.35">
      <c r="A379" s="2">
        <v>46604</v>
      </c>
      <c r="B379" s="2" t="s">
        <v>28</v>
      </c>
      <c r="C379" s="2">
        <v>61</v>
      </c>
    </row>
    <row r="380" spans="1:3" x14ac:dyDescent="0.35">
      <c r="A380" s="2">
        <v>46605</v>
      </c>
      <c r="B380" s="2" t="s">
        <v>29</v>
      </c>
      <c r="C380" s="2">
        <v>61</v>
      </c>
    </row>
    <row r="381" spans="1:3" x14ac:dyDescent="0.35">
      <c r="A381" s="2">
        <v>46606</v>
      </c>
      <c r="B381" s="2" t="s">
        <v>30</v>
      </c>
      <c r="C381" s="2">
        <v>61</v>
      </c>
    </row>
    <row r="382" spans="1:3" x14ac:dyDescent="0.35">
      <c r="A382" s="2">
        <v>46607</v>
      </c>
      <c r="B382" s="2" t="s">
        <v>31</v>
      </c>
      <c r="C382" s="2">
        <v>61</v>
      </c>
    </row>
    <row r="383" spans="1:3" x14ac:dyDescent="0.35">
      <c r="A383" s="2">
        <v>46608</v>
      </c>
      <c r="B383" s="2" t="s">
        <v>32</v>
      </c>
      <c r="C383" s="2">
        <v>61</v>
      </c>
    </row>
    <row r="384" spans="1:3" x14ac:dyDescent="0.35">
      <c r="A384" s="2">
        <v>46609</v>
      </c>
      <c r="B384" s="2" t="s">
        <v>33</v>
      </c>
      <c r="C384" s="2">
        <v>61</v>
      </c>
    </row>
    <row r="385" spans="1:3" x14ac:dyDescent="0.35">
      <c r="A385" s="2">
        <v>46648</v>
      </c>
      <c r="B385" s="2" t="s">
        <v>34</v>
      </c>
      <c r="C385" s="2">
        <v>61</v>
      </c>
    </row>
    <row r="386" spans="1:3" x14ac:dyDescent="0.35">
      <c r="A386" s="2">
        <v>46901</v>
      </c>
      <c r="B386" s="2" t="s">
        <v>35</v>
      </c>
      <c r="C386" s="2">
        <v>61</v>
      </c>
    </row>
    <row r="387" spans="1:3" x14ac:dyDescent="0.35">
      <c r="A387" s="2">
        <v>48101</v>
      </c>
      <c r="B387" s="2" t="s">
        <v>36</v>
      </c>
      <c r="C387" s="2">
        <v>61</v>
      </c>
    </row>
    <row r="388" spans="1:3" x14ac:dyDescent="0.35">
      <c r="A388" s="2">
        <v>48201</v>
      </c>
      <c r="B388" s="2" t="s">
        <v>37</v>
      </c>
      <c r="C388" s="2">
        <v>61</v>
      </c>
    </row>
    <row r="389" spans="1:3" x14ac:dyDescent="0.35">
      <c r="A389" s="2">
        <v>48301</v>
      </c>
      <c r="B389" s="2" t="s">
        <v>38</v>
      </c>
      <c r="C389" s="2">
        <v>61</v>
      </c>
    </row>
    <row r="390" spans="1:3" x14ac:dyDescent="0.35">
      <c r="A390" s="2">
        <v>48501</v>
      </c>
      <c r="B390" s="2" t="s">
        <v>39</v>
      </c>
      <c r="C390" s="2">
        <v>61</v>
      </c>
    </row>
    <row r="391" spans="1:3" x14ac:dyDescent="0.35">
      <c r="A391" s="2">
        <v>48502</v>
      </c>
      <c r="B391" s="2" t="s">
        <v>40</v>
      </c>
      <c r="C391" s="2">
        <v>61</v>
      </c>
    </row>
    <row r="392" spans="1:3" x14ac:dyDescent="0.35">
      <c r="A392" s="2">
        <v>48506</v>
      </c>
      <c r="B392" s="2" t="s">
        <v>41</v>
      </c>
      <c r="C392" s="2">
        <v>61</v>
      </c>
    </row>
    <row r="393" spans="1:3" x14ac:dyDescent="0.35">
      <c r="A393" s="2">
        <v>48548</v>
      </c>
      <c r="B393" s="2" t="s">
        <v>42</v>
      </c>
      <c r="C393" s="2">
        <v>61</v>
      </c>
    </row>
    <row r="394" spans="1:3" x14ac:dyDescent="0.35">
      <c r="A394" s="2">
        <v>48901</v>
      </c>
      <c r="B394" s="2" t="s">
        <v>43</v>
      </c>
      <c r="C394" s="2">
        <v>61</v>
      </c>
    </row>
    <row r="395" spans="1:3" x14ac:dyDescent="0.35">
      <c r="A395" s="2">
        <v>49001</v>
      </c>
      <c r="B395" s="2" t="s">
        <v>44</v>
      </c>
      <c r="C395" s="2">
        <v>61</v>
      </c>
    </row>
    <row r="396" spans="1:3" x14ac:dyDescent="0.35">
      <c r="A396" s="2">
        <v>50651</v>
      </c>
      <c r="B396" s="2" t="s">
        <v>45</v>
      </c>
      <c r="C396" s="2">
        <v>80</v>
      </c>
    </row>
    <row r="397" spans="1:3" x14ac:dyDescent="0.35">
      <c r="A397" s="2">
        <v>51054</v>
      </c>
      <c r="B397" s="2" t="s">
        <v>46</v>
      </c>
      <c r="C397" s="2">
        <v>90</v>
      </c>
    </row>
    <row r="398" spans="1:3" x14ac:dyDescent="0.35">
      <c r="A398" s="2">
        <v>51251</v>
      </c>
      <c r="B398" s="2" t="s">
        <v>47</v>
      </c>
      <c r="C398" s="2">
        <v>90</v>
      </c>
    </row>
    <row r="399" spans="1:3" x14ac:dyDescent="0.35">
      <c r="A399" s="2">
        <v>51252</v>
      </c>
      <c r="B399" s="2" t="s">
        <v>48</v>
      </c>
      <c r="C399" s="2">
        <v>90</v>
      </c>
    </row>
    <row r="400" spans="1:3" x14ac:dyDescent="0.35">
      <c r="A400" s="2">
        <v>51253</v>
      </c>
      <c r="B400" s="2" t="s">
        <v>49</v>
      </c>
      <c r="C400" s="2">
        <v>90</v>
      </c>
    </row>
    <row r="401" spans="1:3" x14ac:dyDescent="0.35">
      <c r="A401" s="2">
        <v>51254</v>
      </c>
      <c r="B401" s="2" t="s">
        <v>50</v>
      </c>
      <c r="C401" s="2">
        <v>90</v>
      </c>
    </row>
    <row r="402" spans="1:3" x14ac:dyDescent="0.35">
      <c r="A402" s="2">
        <v>51255</v>
      </c>
      <c r="B402" s="2" t="s">
        <v>51</v>
      </c>
      <c r="C402" s="2">
        <v>90</v>
      </c>
    </row>
    <row r="403" spans="1:3" x14ac:dyDescent="0.35">
      <c r="A403" s="2">
        <v>51256</v>
      </c>
      <c r="B403" s="2" t="s">
        <v>52</v>
      </c>
      <c r="C403" s="2">
        <v>90</v>
      </c>
    </row>
    <row r="404" spans="1:3" x14ac:dyDescent="0.35">
      <c r="A404" s="2">
        <v>51451</v>
      </c>
      <c r="B404" s="2" t="s">
        <v>53</v>
      </c>
      <c r="C404" s="2">
        <v>90</v>
      </c>
    </row>
    <row r="405" spans="1:3" x14ac:dyDescent="0.35">
      <c r="A405" s="2">
        <v>52054</v>
      </c>
      <c r="B405" s="2" t="s">
        <v>54</v>
      </c>
      <c r="C405" s="2">
        <v>90</v>
      </c>
    </row>
    <row r="406" spans="1:3" x14ac:dyDescent="0.35">
      <c r="A406" s="2">
        <v>52251</v>
      </c>
      <c r="B406" s="2" t="s">
        <v>55</v>
      </c>
      <c r="C406" s="2">
        <v>90</v>
      </c>
    </row>
    <row r="407" spans="1:3" x14ac:dyDescent="0.35">
      <c r="A407" s="2">
        <v>52252</v>
      </c>
      <c r="B407" s="2" t="s">
        <v>56</v>
      </c>
      <c r="C407" s="2">
        <v>90</v>
      </c>
    </row>
    <row r="408" spans="1:3" x14ac:dyDescent="0.35">
      <c r="A408" s="2">
        <v>52253</v>
      </c>
      <c r="B408" s="2" t="s">
        <v>57</v>
      </c>
      <c r="C408" s="2">
        <v>90</v>
      </c>
    </row>
    <row r="409" spans="1:3" x14ac:dyDescent="0.35">
      <c r="A409" s="2">
        <v>52254</v>
      </c>
      <c r="B409" s="2" t="s">
        <v>58</v>
      </c>
      <c r="C409" s="2">
        <v>90</v>
      </c>
    </row>
    <row r="410" spans="1:3" x14ac:dyDescent="0.35">
      <c r="A410" s="2">
        <v>52255</v>
      </c>
      <c r="B410" s="2" t="s">
        <v>59</v>
      </c>
      <c r="C410" s="2">
        <v>90</v>
      </c>
    </row>
    <row r="411" spans="1:3" x14ac:dyDescent="0.35">
      <c r="A411" s="2">
        <v>56051</v>
      </c>
      <c r="B411" s="2" t="s">
        <v>60</v>
      </c>
      <c r="C411" s="2">
        <v>80</v>
      </c>
    </row>
    <row r="412" spans="1:3" x14ac:dyDescent="0.35">
      <c r="A412" s="2">
        <v>56052</v>
      </c>
      <c r="B412" s="2" t="s">
        <v>61</v>
      </c>
      <c r="C412" s="2">
        <v>80</v>
      </c>
    </row>
    <row r="413" spans="1:3" x14ac:dyDescent="0.35">
      <c r="A413" s="2">
        <v>56053</v>
      </c>
      <c r="B413" s="2" t="s">
        <v>62</v>
      </c>
      <c r="C413" s="2">
        <v>80</v>
      </c>
    </row>
    <row r="414" spans="1:3" x14ac:dyDescent="0.35">
      <c r="A414" s="2">
        <v>56054</v>
      </c>
      <c r="B414" s="2" t="s">
        <v>46</v>
      </c>
      <c r="C414" s="2">
        <v>80</v>
      </c>
    </row>
    <row r="415" spans="1:3" x14ac:dyDescent="0.35">
      <c r="A415" s="2">
        <v>56451</v>
      </c>
      <c r="B415" s="2" t="s">
        <v>63</v>
      </c>
      <c r="C415" s="2">
        <v>80</v>
      </c>
    </row>
    <row r="416" spans="1:3" x14ac:dyDescent="0.35">
      <c r="A416" s="2">
        <v>58051</v>
      </c>
      <c r="B416" s="2" t="s">
        <v>64</v>
      </c>
      <c r="C416" s="2">
        <v>80</v>
      </c>
    </row>
    <row r="417" spans="1:3" x14ac:dyDescent="0.35">
      <c r="A417" s="2">
        <v>58052</v>
      </c>
      <c r="B417" s="2" t="s">
        <v>65</v>
      </c>
      <c r="C417" s="2">
        <v>80</v>
      </c>
    </row>
    <row r="418" spans="1:3" x14ac:dyDescent="0.35">
      <c r="A418" s="2">
        <v>58053</v>
      </c>
      <c r="B418" s="2" t="s">
        <v>66</v>
      </c>
      <c r="C418" s="2">
        <v>80</v>
      </c>
    </row>
    <row r="419" spans="1:3" x14ac:dyDescent="0.35">
      <c r="A419" s="2">
        <v>58054</v>
      </c>
      <c r="B419" s="2" t="s">
        <v>67</v>
      </c>
      <c r="C419" s="2">
        <v>80</v>
      </c>
    </row>
    <row r="420" spans="1:3" x14ac:dyDescent="0.35">
      <c r="A420" s="2">
        <v>60651</v>
      </c>
      <c r="B420" s="2" t="s">
        <v>68</v>
      </c>
      <c r="C420" s="2">
        <v>80</v>
      </c>
    </row>
    <row r="421" spans="1:3" x14ac:dyDescent="0.35">
      <c r="A421" s="2">
        <v>61054</v>
      </c>
      <c r="B421" s="2" t="s">
        <v>69</v>
      </c>
      <c r="C421" s="2">
        <v>90</v>
      </c>
    </row>
    <row r="422" spans="1:3" x14ac:dyDescent="0.35">
      <c r="A422" s="2">
        <v>61551</v>
      </c>
      <c r="B422" s="2" t="s">
        <v>70</v>
      </c>
      <c r="C422" s="2">
        <v>90</v>
      </c>
    </row>
    <row r="423" spans="1:3" x14ac:dyDescent="0.35">
      <c r="A423" s="2">
        <v>61552</v>
      </c>
      <c r="B423" s="2" t="s">
        <v>71</v>
      </c>
      <c r="C423" s="2">
        <v>90</v>
      </c>
    </row>
    <row r="424" spans="1:3" x14ac:dyDescent="0.35">
      <c r="A424" s="2">
        <v>63054</v>
      </c>
      <c r="B424" s="2" t="s">
        <v>69</v>
      </c>
      <c r="C424" s="2">
        <v>90</v>
      </c>
    </row>
    <row r="425" spans="1:3" x14ac:dyDescent="0.35">
      <c r="A425" s="2">
        <v>63151</v>
      </c>
      <c r="B425" s="2" t="s">
        <v>72</v>
      </c>
      <c r="C425" s="2">
        <v>90</v>
      </c>
    </row>
    <row r="426" spans="1:3" x14ac:dyDescent="0.35">
      <c r="A426" s="2">
        <v>63251</v>
      </c>
      <c r="B426" s="2" t="s">
        <v>73</v>
      </c>
      <c r="C426" s="2">
        <v>90</v>
      </c>
    </row>
    <row r="427" spans="1:3" x14ac:dyDescent="0.35">
      <c r="A427" s="2">
        <v>63351</v>
      </c>
      <c r="B427" s="2" t="s">
        <v>74</v>
      </c>
      <c r="C427" s="2">
        <v>90</v>
      </c>
    </row>
    <row r="428" spans="1:3" x14ac:dyDescent="0.35">
      <c r="A428" s="2">
        <v>63451</v>
      </c>
      <c r="B428" s="2" t="s">
        <v>75</v>
      </c>
      <c r="C428" s="2">
        <v>90</v>
      </c>
    </row>
    <row r="429" spans="1:3" x14ac:dyDescent="0.35">
      <c r="A429" s="2">
        <v>63551</v>
      </c>
      <c r="B429" s="2" t="s">
        <v>76</v>
      </c>
      <c r="C429" s="2">
        <v>90</v>
      </c>
    </row>
    <row r="430" spans="1:3" x14ac:dyDescent="0.35">
      <c r="A430" s="2">
        <v>63552</v>
      </c>
      <c r="B430" s="2" t="s">
        <v>77</v>
      </c>
      <c r="C430" s="2">
        <v>90</v>
      </c>
    </row>
    <row r="431" spans="1:3" x14ac:dyDescent="0.35">
      <c r="A431" s="2">
        <v>64151</v>
      </c>
      <c r="B431" s="2" t="s">
        <v>78</v>
      </c>
      <c r="C431" s="2">
        <v>90</v>
      </c>
    </row>
    <row r="432" spans="1:3" x14ac:dyDescent="0.35">
      <c r="A432" s="2">
        <v>64251</v>
      </c>
      <c r="B432" s="2" t="s">
        <v>79</v>
      </c>
      <c r="C432" s="2">
        <v>90</v>
      </c>
    </row>
    <row r="433" spans="1:3" x14ac:dyDescent="0.35">
      <c r="A433" s="2">
        <v>64351</v>
      </c>
      <c r="B433" s="2" t="s">
        <v>80</v>
      </c>
      <c r="C433" s="2">
        <v>90</v>
      </c>
    </row>
    <row r="434" spans="1:3" x14ac:dyDescent="0.35">
      <c r="A434" s="2">
        <v>66151</v>
      </c>
      <c r="B434" s="2" t="s">
        <v>81</v>
      </c>
      <c r="C434" s="2">
        <v>80</v>
      </c>
    </row>
    <row r="435" spans="1:3" x14ac:dyDescent="0.35">
      <c r="A435" s="2">
        <v>66251</v>
      </c>
      <c r="B435" s="2" t="s">
        <v>82</v>
      </c>
      <c r="C435" s="2">
        <v>80</v>
      </c>
    </row>
    <row r="436" spans="1:3" x14ac:dyDescent="0.35">
      <c r="A436" s="2">
        <v>66351</v>
      </c>
      <c r="B436" s="2" t="s">
        <v>74</v>
      </c>
      <c r="C436" s="2">
        <v>80</v>
      </c>
    </row>
    <row r="437" spans="1:3" x14ac:dyDescent="0.35">
      <c r="A437" s="2">
        <v>66401</v>
      </c>
      <c r="B437" s="2" t="s">
        <v>83</v>
      </c>
      <c r="C437" s="2">
        <v>61</v>
      </c>
    </row>
    <row r="438" spans="1:3" x14ac:dyDescent="0.35">
      <c r="A438" s="2">
        <v>66451</v>
      </c>
      <c r="B438" s="2" t="s">
        <v>84</v>
      </c>
      <c r="C438" s="2">
        <v>80</v>
      </c>
    </row>
    <row r="439" spans="1:3" x14ac:dyDescent="0.35">
      <c r="A439" s="2">
        <v>66501</v>
      </c>
      <c r="B439" s="2" t="s">
        <v>85</v>
      </c>
      <c r="C439" s="2">
        <v>61</v>
      </c>
    </row>
    <row r="440" spans="1:3" x14ac:dyDescent="0.35">
      <c r="A440" s="2">
        <v>66551</v>
      </c>
      <c r="B440" s="2" t="s">
        <v>86</v>
      </c>
      <c r="C440" s="2">
        <v>80</v>
      </c>
    </row>
    <row r="441" spans="1:3" x14ac:dyDescent="0.35">
      <c r="A441" s="2">
        <v>66552</v>
      </c>
      <c r="B441" s="2" t="s">
        <v>87</v>
      </c>
      <c r="C441" s="2">
        <v>80</v>
      </c>
    </row>
    <row r="442" spans="1:3" x14ac:dyDescent="0.35">
      <c r="A442" s="2">
        <v>66701</v>
      </c>
      <c r="B442" s="2" t="s">
        <v>88</v>
      </c>
      <c r="C442" s="2">
        <v>61</v>
      </c>
    </row>
    <row r="443" spans="1:3" x14ac:dyDescent="0.35">
      <c r="A443" s="2">
        <v>66801</v>
      </c>
      <c r="B443" s="2" t="s">
        <v>89</v>
      </c>
      <c r="C443" s="2">
        <v>61</v>
      </c>
    </row>
    <row r="444" spans="1:3" x14ac:dyDescent="0.35">
      <c r="A444" s="2">
        <v>66951</v>
      </c>
      <c r="B444" s="2" t="s">
        <v>90</v>
      </c>
      <c r="C444" s="2">
        <v>80</v>
      </c>
    </row>
    <row r="445" spans="1:3" x14ac:dyDescent="0.35">
      <c r="A445" s="2">
        <v>66954</v>
      </c>
      <c r="B445" s="2" t="s">
        <v>91</v>
      </c>
      <c r="C445" s="2">
        <v>80</v>
      </c>
    </row>
    <row r="446" spans="1:3" x14ac:dyDescent="0.35">
      <c r="A446" s="2">
        <v>68151</v>
      </c>
      <c r="B446" s="2" t="s">
        <v>95</v>
      </c>
      <c r="C446" s="2">
        <v>80</v>
      </c>
    </row>
    <row r="447" spans="1:3" x14ac:dyDescent="0.35">
      <c r="A447" s="2">
        <v>68251</v>
      </c>
      <c r="B447" s="2" t="s">
        <v>96</v>
      </c>
      <c r="C447" s="2">
        <v>80</v>
      </c>
    </row>
    <row r="448" spans="1:3" x14ac:dyDescent="0.35">
      <c r="A448" s="2">
        <v>68351</v>
      </c>
      <c r="B448" s="2" t="s">
        <v>97</v>
      </c>
      <c r="C448" s="2">
        <v>80</v>
      </c>
    </row>
    <row r="449" spans="1:3" x14ac:dyDescent="0.35">
      <c r="A449" s="2">
        <v>68451</v>
      </c>
      <c r="B449" s="2" t="s">
        <v>98</v>
      </c>
      <c r="C449" s="2">
        <v>80</v>
      </c>
    </row>
    <row r="450" spans="1:3" x14ac:dyDescent="0.35">
      <c r="A450" s="2">
        <v>68551</v>
      </c>
      <c r="B450" s="2" t="s">
        <v>99</v>
      </c>
      <c r="C450" s="2">
        <v>80</v>
      </c>
    </row>
    <row r="451" spans="1:3" x14ac:dyDescent="0.35">
      <c r="A451" s="2">
        <v>68951</v>
      </c>
      <c r="B451" s="2" t="s">
        <v>100</v>
      </c>
      <c r="C451" s="2">
        <v>80</v>
      </c>
    </row>
    <row r="452" spans="1:3" x14ac:dyDescent="0.35">
      <c r="A452" s="2">
        <v>68954</v>
      </c>
      <c r="B452" s="2" t="s">
        <v>69</v>
      </c>
      <c r="C452" s="2">
        <v>80</v>
      </c>
    </row>
    <row r="453" spans="1:3" x14ac:dyDescent="0.35">
      <c r="A453" s="2">
        <v>70151</v>
      </c>
      <c r="B453" s="2" t="s">
        <v>101</v>
      </c>
      <c r="C453" s="2">
        <v>91</v>
      </c>
    </row>
    <row r="454" spans="1:3" x14ac:dyDescent="0.35">
      <c r="A454" s="2">
        <v>70152</v>
      </c>
      <c r="B454" s="2" t="s">
        <v>102</v>
      </c>
      <c r="C454" s="2">
        <v>91</v>
      </c>
    </row>
    <row r="455" spans="1:3" x14ac:dyDescent="0.35">
      <c r="A455" s="2">
        <v>70651</v>
      </c>
      <c r="B455" s="2" t="s">
        <v>103</v>
      </c>
      <c r="C455" s="2">
        <v>81</v>
      </c>
    </row>
    <row r="456" spans="1:3" x14ac:dyDescent="0.35">
      <c r="A456" s="2">
        <v>71151</v>
      </c>
      <c r="B456" s="2" t="s">
        <v>104</v>
      </c>
      <c r="C456" s="2">
        <v>91</v>
      </c>
    </row>
    <row r="457" spans="1:3" x14ac:dyDescent="0.35">
      <c r="A457" s="2">
        <v>71152</v>
      </c>
      <c r="B457" s="2" t="s">
        <v>105</v>
      </c>
      <c r="C457" s="2">
        <v>91</v>
      </c>
    </row>
    <row r="458" spans="1:3" x14ac:dyDescent="0.35">
      <c r="A458" s="2">
        <v>71153</v>
      </c>
      <c r="B458" s="2" t="s">
        <v>106</v>
      </c>
      <c r="C458" s="2">
        <v>91</v>
      </c>
    </row>
    <row r="459" spans="1:3" x14ac:dyDescent="0.35">
      <c r="A459" s="2">
        <v>71154</v>
      </c>
      <c r="B459" s="2" t="s">
        <v>107</v>
      </c>
      <c r="C459" s="2">
        <v>91</v>
      </c>
    </row>
    <row r="460" spans="1:3" x14ac:dyDescent="0.35">
      <c r="A460" s="2">
        <v>71155</v>
      </c>
      <c r="B460" s="2" t="s">
        <v>108</v>
      </c>
      <c r="C460" s="2">
        <v>91</v>
      </c>
    </row>
    <row r="461" spans="1:3" x14ac:dyDescent="0.35">
      <c r="A461" s="2">
        <v>71156</v>
      </c>
      <c r="B461" s="2" t="s">
        <v>109</v>
      </c>
      <c r="C461" s="2">
        <v>91</v>
      </c>
    </row>
    <row r="462" spans="1:3" x14ac:dyDescent="0.35">
      <c r="A462" s="2">
        <v>71157</v>
      </c>
      <c r="B462" s="2" t="s">
        <v>110</v>
      </c>
      <c r="C462" s="2">
        <v>91</v>
      </c>
    </row>
    <row r="463" spans="1:3" x14ac:dyDescent="0.35">
      <c r="A463" s="2">
        <v>71158</v>
      </c>
      <c r="B463" s="2" t="s">
        <v>111</v>
      </c>
      <c r="C463" s="2">
        <v>91</v>
      </c>
    </row>
    <row r="464" spans="1:3" x14ac:dyDescent="0.35">
      <c r="A464" s="2">
        <v>71159</v>
      </c>
      <c r="B464" s="2" t="s">
        <v>112</v>
      </c>
      <c r="C464" s="2">
        <v>91</v>
      </c>
    </row>
    <row r="465" spans="1:3" x14ac:dyDescent="0.35">
      <c r="A465" s="2">
        <v>71160</v>
      </c>
      <c r="B465" s="2" t="s">
        <v>113</v>
      </c>
      <c r="C465" s="2">
        <v>91</v>
      </c>
    </row>
    <row r="466" spans="1:3" x14ac:dyDescent="0.35">
      <c r="A466" s="2">
        <v>71161</v>
      </c>
      <c r="B466" s="2" t="s">
        <v>114</v>
      </c>
      <c r="C466" s="2">
        <v>91</v>
      </c>
    </row>
    <row r="467" spans="1:3" x14ac:dyDescent="0.35">
      <c r="A467" s="2">
        <v>71162</v>
      </c>
      <c r="B467" s="2" t="s">
        <v>115</v>
      </c>
      <c r="C467" s="2">
        <v>91</v>
      </c>
    </row>
    <row r="468" spans="1:3" x14ac:dyDescent="0.35">
      <c r="A468" s="2">
        <v>71251</v>
      </c>
      <c r="B468" s="2" t="s">
        <v>116</v>
      </c>
      <c r="C468" s="2">
        <v>91</v>
      </c>
    </row>
    <row r="469" spans="1:3" x14ac:dyDescent="0.35">
      <c r="A469" s="2">
        <v>71252</v>
      </c>
      <c r="B469" s="2" t="s">
        <v>117</v>
      </c>
      <c r="C469" s="2">
        <v>91</v>
      </c>
    </row>
    <row r="470" spans="1:3" x14ac:dyDescent="0.35">
      <c r="A470" s="2">
        <v>71253</v>
      </c>
      <c r="B470" s="2" t="s">
        <v>118</v>
      </c>
      <c r="C470" s="2">
        <v>91</v>
      </c>
    </row>
    <row r="471" spans="1:3" x14ac:dyDescent="0.35">
      <c r="A471" s="2">
        <v>71254</v>
      </c>
      <c r="B471" s="2" t="s">
        <v>119</v>
      </c>
      <c r="C471" s="2">
        <v>91</v>
      </c>
    </row>
    <row r="472" spans="1:3" x14ac:dyDescent="0.35">
      <c r="A472" s="2">
        <v>71255</v>
      </c>
      <c r="B472" s="2" t="s">
        <v>120</v>
      </c>
      <c r="C472" s="2">
        <v>91</v>
      </c>
    </row>
    <row r="473" spans="1:3" x14ac:dyDescent="0.35">
      <c r="A473" s="2">
        <v>71256</v>
      </c>
      <c r="B473" s="2" t="s">
        <v>121</v>
      </c>
      <c r="C473" s="2">
        <v>91</v>
      </c>
    </row>
    <row r="474" spans="1:3" x14ac:dyDescent="0.35">
      <c r="A474" s="2">
        <v>71260</v>
      </c>
      <c r="B474" s="2" t="s">
        <v>122</v>
      </c>
      <c r="C474" s="2">
        <v>91</v>
      </c>
    </row>
    <row r="475" spans="1:3" x14ac:dyDescent="0.35">
      <c r="A475" s="2">
        <v>72151</v>
      </c>
      <c r="B475" s="2" t="s">
        <v>123</v>
      </c>
      <c r="C475" s="2">
        <v>91</v>
      </c>
    </row>
    <row r="476" spans="1:3" x14ac:dyDescent="0.35">
      <c r="A476" s="2">
        <v>72152</v>
      </c>
      <c r="B476" s="2" t="s">
        <v>124</v>
      </c>
      <c r="C476" s="2">
        <v>91</v>
      </c>
    </row>
    <row r="477" spans="1:3" x14ac:dyDescent="0.35">
      <c r="A477" s="2">
        <v>72153</v>
      </c>
      <c r="B477" s="2" t="s">
        <v>125</v>
      </c>
      <c r="C477" s="2">
        <v>91</v>
      </c>
    </row>
    <row r="478" spans="1:3" x14ac:dyDescent="0.35">
      <c r="A478" s="2">
        <v>72154</v>
      </c>
      <c r="B478" s="2" t="s">
        <v>126</v>
      </c>
      <c r="C478" s="2">
        <v>91</v>
      </c>
    </row>
    <row r="479" spans="1:3" x14ac:dyDescent="0.35">
      <c r="A479" s="2">
        <v>72155</v>
      </c>
      <c r="B479" s="2" t="s">
        <v>127</v>
      </c>
      <c r="C479" s="2">
        <v>91</v>
      </c>
    </row>
    <row r="480" spans="1:3" x14ac:dyDescent="0.35">
      <c r="A480" s="2">
        <v>72156</v>
      </c>
      <c r="B480" s="2" t="s">
        <v>128</v>
      </c>
      <c r="C480" s="2">
        <v>91</v>
      </c>
    </row>
    <row r="481" spans="1:3" x14ac:dyDescent="0.35">
      <c r="A481" s="2">
        <v>72157</v>
      </c>
      <c r="B481" s="2" t="s">
        <v>129</v>
      </c>
      <c r="C481" s="2">
        <v>91</v>
      </c>
    </row>
    <row r="482" spans="1:3" x14ac:dyDescent="0.35">
      <c r="A482" s="2">
        <v>72158</v>
      </c>
      <c r="B482" s="2" t="s">
        <v>130</v>
      </c>
      <c r="C482" s="2">
        <v>91</v>
      </c>
    </row>
    <row r="483" spans="1:3" x14ac:dyDescent="0.35">
      <c r="A483" s="2">
        <v>72160</v>
      </c>
      <c r="B483" s="2" t="s">
        <v>131</v>
      </c>
      <c r="C483" s="2">
        <v>91</v>
      </c>
    </row>
    <row r="484" spans="1:3" x14ac:dyDescent="0.35">
      <c r="A484" s="2">
        <v>72162</v>
      </c>
      <c r="B484" s="2" t="s">
        <v>132</v>
      </c>
      <c r="C484" s="2">
        <v>91</v>
      </c>
    </row>
    <row r="485" spans="1:3" x14ac:dyDescent="0.35">
      <c r="A485" s="2">
        <v>72251</v>
      </c>
      <c r="B485" s="2" t="s">
        <v>133</v>
      </c>
      <c r="C485" s="2">
        <v>91</v>
      </c>
    </row>
    <row r="486" spans="1:3" x14ac:dyDescent="0.35">
      <c r="A486" s="2">
        <v>72252</v>
      </c>
      <c r="B486" s="2" t="s">
        <v>134</v>
      </c>
      <c r="C486" s="2">
        <v>91</v>
      </c>
    </row>
    <row r="487" spans="1:3" x14ac:dyDescent="0.35">
      <c r="A487" s="2">
        <v>72253</v>
      </c>
      <c r="B487" s="2" t="s">
        <v>135</v>
      </c>
      <c r="C487" s="2">
        <v>91</v>
      </c>
    </row>
    <row r="488" spans="1:3" x14ac:dyDescent="0.35">
      <c r="A488" s="2">
        <v>72254</v>
      </c>
      <c r="B488" s="2" t="s">
        <v>136</v>
      </c>
      <c r="C488" s="2">
        <v>91</v>
      </c>
    </row>
    <row r="489" spans="1:3" x14ac:dyDescent="0.35">
      <c r="A489" s="2">
        <v>72255</v>
      </c>
      <c r="B489" s="2" t="s">
        <v>137</v>
      </c>
      <c r="C489" s="2">
        <v>91</v>
      </c>
    </row>
    <row r="490" spans="1:3" x14ac:dyDescent="0.35">
      <c r="A490" s="2">
        <v>72256</v>
      </c>
      <c r="B490" s="2" t="s">
        <v>138</v>
      </c>
      <c r="C490" s="2">
        <v>91</v>
      </c>
    </row>
    <row r="491" spans="1:3" x14ac:dyDescent="0.35">
      <c r="A491" s="2">
        <v>72260</v>
      </c>
      <c r="B491" s="2" t="s">
        <v>139</v>
      </c>
      <c r="C491" s="2">
        <v>91</v>
      </c>
    </row>
    <row r="492" spans="1:3" x14ac:dyDescent="0.35">
      <c r="A492" s="2">
        <v>72351</v>
      </c>
      <c r="B492" s="2" t="s">
        <v>140</v>
      </c>
      <c r="C492" s="2">
        <v>91</v>
      </c>
    </row>
    <row r="493" spans="1:3" x14ac:dyDescent="0.35">
      <c r="A493" s="2">
        <v>72352</v>
      </c>
      <c r="B493" s="2" t="s">
        <v>141</v>
      </c>
      <c r="C493" s="2">
        <v>91</v>
      </c>
    </row>
    <row r="494" spans="1:3" x14ac:dyDescent="0.35">
      <c r="A494" s="2">
        <v>72353</v>
      </c>
      <c r="B494" s="2" t="s">
        <v>142</v>
      </c>
      <c r="C494" s="2">
        <v>91</v>
      </c>
    </row>
    <row r="495" spans="1:3" x14ac:dyDescent="0.35">
      <c r="A495" s="2">
        <v>72354</v>
      </c>
      <c r="B495" s="2" t="s">
        <v>143</v>
      </c>
      <c r="C495" s="2">
        <v>91</v>
      </c>
    </row>
    <row r="496" spans="1:3" x14ac:dyDescent="0.35">
      <c r="A496" s="2">
        <v>72355</v>
      </c>
      <c r="B496" s="2" t="s">
        <v>144</v>
      </c>
      <c r="C496" s="2">
        <v>91</v>
      </c>
    </row>
    <row r="497" spans="1:3" x14ac:dyDescent="0.35">
      <c r="A497" s="2">
        <v>72356</v>
      </c>
      <c r="B497" s="2" t="s">
        <v>145</v>
      </c>
      <c r="C497" s="2">
        <v>91</v>
      </c>
    </row>
    <row r="498" spans="1:3" x14ac:dyDescent="0.35">
      <c r="A498" s="2">
        <v>72360</v>
      </c>
      <c r="B498" s="2" t="s">
        <v>146</v>
      </c>
      <c r="C498" s="2">
        <v>91</v>
      </c>
    </row>
    <row r="499" spans="1:3" x14ac:dyDescent="0.35">
      <c r="A499" s="2">
        <v>72451</v>
      </c>
      <c r="B499" s="2" t="s">
        <v>147</v>
      </c>
      <c r="C499" s="2">
        <v>91</v>
      </c>
    </row>
    <row r="500" spans="1:3" x14ac:dyDescent="0.35">
      <c r="A500" s="2">
        <v>72452</v>
      </c>
      <c r="B500" s="2" t="s">
        <v>148</v>
      </c>
      <c r="C500" s="2">
        <v>91</v>
      </c>
    </row>
    <row r="501" spans="1:3" x14ac:dyDescent="0.35">
      <c r="A501" s="2">
        <v>72453</v>
      </c>
      <c r="B501" s="2" t="s">
        <v>149</v>
      </c>
      <c r="C501" s="2">
        <v>91</v>
      </c>
    </row>
    <row r="502" spans="1:3" x14ac:dyDescent="0.35">
      <c r="A502" s="2">
        <v>72454</v>
      </c>
      <c r="B502" s="2" t="s">
        <v>150</v>
      </c>
      <c r="C502" s="2">
        <v>91</v>
      </c>
    </row>
    <row r="503" spans="1:3" x14ac:dyDescent="0.35">
      <c r="A503" s="2">
        <v>72455</v>
      </c>
      <c r="B503" s="2" t="s">
        <v>151</v>
      </c>
      <c r="C503" s="2">
        <v>91</v>
      </c>
    </row>
    <row r="504" spans="1:3" x14ac:dyDescent="0.35">
      <c r="A504" s="2">
        <v>72456</v>
      </c>
      <c r="B504" s="2" t="s">
        <v>152</v>
      </c>
      <c r="C504" s="2">
        <v>91</v>
      </c>
    </row>
    <row r="505" spans="1:3" x14ac:dyDescent="0.35">
      <c r="A505" s="2">
        <v>72460</v>
      </c>
      <c r="B505" s="2" t="s">
        <v>153</v>
      </c>
      <c r="C505" s="2">
        <v>91</v>
      </c>
    </row>
    <row r="506" spans="1:3" x14ac:dyDescent="0.35">
      <c r="A506" s="2">
        <v>72551</v>
      </c>
      <c r="B506" s="2" t="s">
        <v>154</v>
      </c>
      <c r="C506" s="2">
        <v>91</v>
      </c>
    </row>
    <row r="507" spans="1:3" x14ac:dyDescent="0.35">
      <c r="A507" s="2">
        <v>72552</v>
      </c>
      <c r="B507" s="2" t="s">
        <v>155</v>
      </c>
      <c r="C507" s="2">
        <v>91</v>
      </c>
    </row>
    <row r="508" spans="1:3" x14ac:dyDescent="0.35">
      <c r="A508" s="2">
        <v>72553</v>
      </c>
      <c r="B508" s="2" t="s">
        <v>156</v>
      </c>
      <c r="C508" s="2">
        <v>91</v>
      </c>
    </row>
    <row r="509" spans="1:3" x14ac:dyDescent="0.35">
      <c r="A509" s="2">
        <v>72554</v>
      </c>
      <c r="B509" s="2" t="s">
        <v>157</v>
      </c>
      <c r="C509" s="2">
        <v>91</v>
      </c>
    </row>
    <row r="510" spans="1:3" x14ac:dyDescent="0.35">
      <c r="A510" s="2">
        <v>72555</v>
      </c>
      <c r="B510" s="2" t="s">
        <v>158</v>
      </c>
      <c r="C510" s="2">
        <v>91</v>
      </c>
    </row>
    <row r="511" spans="1:3" x14ac:dyDescent="0.35">
      <c r="A511" s="2">
        <v>72556</v>
      </c>
      <c r="B511" s="2" t="s">
        <v>159</v>
      </c>
      <c r="C511" s="2">
        <v>91</v>
      </c>
    </row>
    <row r="512" spans="1:3" x14ac:dyDescent="0.35">
      <c r="A512" s="2">
        <v>72557</v>
      </c>
      <c r="B512" s="2" t="s">
        <v>160</v>
      </c>
      <c r="C512" s="2">
        <v>91</v>
      </c>
    </row>
    <row r="513" spans="1:3" x14ac:dyDescent="0.35">
      <c r="A513" s="2">
        <v>72558</v>
      </c>
      <c r="B513" s="2" t="s">
        <v>161</v>
      </c>
      <c r="C513" s="2">
        <v>91</v>
      </c>
    </row>
    <row r="514" spans="1:3" x14ac:dyDescent="0.35">
      <c r="A514" s="2">
        <v>72560</v>
      </c>
      <c r="B514" s="2" t="s">
        <v>162</v>
      </c>
      <c r="C514" s="2">
        <v>91</v>
      </c>
    </row>
    <row r="515" spans="1:3" x14ac:dyDescent="0.35">
      <c r="A515" s="2">
        <v>72562</v>
      </c>
      <c r="B515" s="2" t="s">
        <v>163</v>
      </c>
      <c r="C515" s="2">
        <v>91</v>
      </c>
    </row>
    <row r="516" spans="1:3" x14ac:dyDescent="0.35">
      <c r="A516" s="2">
        <v>73151</v>
      </c>
      <c r="B516" s="2" t="s">
        <v>164</v>
      </c>
      <c r="C516" s="2">
        <v>91</v>
      </c>
    </row>
    <row r="517" spans="1:3" x14ac:dyDescent="0.35">
      <c r="A517" s="2">
        <v>73152</v>
      </c>
      <c r="B517" s="2" t="s">
        <v>165</v>
      </c>
      <c r="C517" s="2">
        <v>91</v>
      </c>
    </row>
    <row r="518" spans="1:3" x14ac:dyDescent="0.35">
      <c r="A518" s="2">
        <v>73153</v>
      </c>
      <c r="B518" s="2" t="s">
        <v>166</v>
      </c>
      <c r="C518" s="2">
        <v>91</v>
      </c>
    </row>
    <row r="519" spans="1:3" x14ac:dyDescent="0.35">
      <c r="A519" s="2">
        <v>73160</v>
      </c>
      <c r="B519" s="2" t="s">
        <v>167</v>
      </c>
      <c r="C519" s="2">
        <v>91</v>
      </c>
    </row>
    <row r="520" spans="1:3" x14ac:dyDescent="0.35">
      <c r="A520" s="2">
        <v>73251</v>
      </c>
      <c r="B520" s="2" t="s">
        <v>168</v>
      </c>
      <c r="C520" s="2">
        <v>91</v>
      </c>
    </row>
    <row r="521" spans="1:3" x14ac:dyDescent="0.35">
      <c r="A521" s="2">
        <v>73252</v>
      </c>
      <c r="B521" s="2" t="s">
        <v>169</v>
      </c>
      <c r="C521" s="2">
        <v>91</v>
      </c>
    </row>
    <row r="522" spans="1:3" x14ac:dyDescent="0.35">
      <c r="A522" s="2">
        <v>73253</v>
      </c>
      <c r="B522" s="2" t="s">
        <v>170</v>
      </c>
      <c r="C522" s="2">
        <v>91</v>
      </c>
    </row>
    <row r="523" spans="1:3" x14ac:dyDescent="0.35">
      <c r="A523" s="2">
        <v>73254</v>
      </c>
      <c r="B523" s="2" t="s">
        <v>171</v>
      </c>
      <c r="C523" s="2">
        <v>91</v>
      </c>
    </row>
    <row r="524" spans="1:3" x14ac:dyDescent="0.35">
      <c r="A524" s="2">
        <v>73255</v>
      </c>
      <c r="B524" s="2" t="s">
        <v>172</v>
      </c>
      <c r="C524" s="2">
        <v>91</v>
      </c>
    </row>
    <row r="525" spans="1:3" x14ac:dyDescent="0.35">
      <c r="A525" s="2">
        <v>73256</v>
      </c>
      <c r="B525" s="2" t="s">
        <v>173</v>
      </c>
      <c r="C525" s="2">
        <v>91</v>
      </c>
    </row>
    <row r="526" spans="1:3" x14ac:dyDescent="0.35">
      <c r="A526" s="2">
        <v>73260</v>
      </c>
      <c r="B526" s="2" t="s">
        <v>174</v>
      </c>
      <c r="C526" s="2">
        <v>91</v>
      </c>
    </row>
    <row r="527" spans="1:3" x14ac:dyDescent="0.35">
      <c r="A527" s="2">
        <v>73351</v>
      </c>
      <c r="B527" s="2" t="s">
        <v>175</v>
      </c>
      <c r="C527" s="2">
        <v>91</v>
      </c>
    </row>
    <row r="528" spans="1:3" x14ac:dyDescent="0.35">
      <c r="A528" s="2">
        <v>73360</v>
      </c>
      <c r="B528" s="2" t="s">
        <v>176</v>
      </c>
      <c r="C528" s="2">
        <v>91</v>
      </c>
    </row>
    <row r="529" spans="1:3" x14ac:dyDescent="0.35">
      <c r="A529" s="2">
        <v>73451</v>
      </c>
      <c r="B529" s="2" t="s">
        <v>800</v>
      </c>
      <c r="C529" s="2">
        <v>91</v>
      </c>
    </row>
    <row r="530" spans="1:3" x14ac:dyDescent="0.35">
      <c r="A530" s="2">
        <v>73460</v>
      </c>
      <c r="B530" s="2" t="s">
        <v>177</v>
      </c>
      <c r="C530" s="2">
        <v>91</v>
      </c>
    </row>
    <row r="531" spans="1:3" x14ac:dyDescent="0.35">
      <c r="A531" s="2">
        <v>73551</v>
      </c>
      <c r="B531" s="2" t="s">
        <v>178</v>
      </c>
      <c r="C531" s="2">
        <v>91</v>
      </c>
    </row>
    <row r="532" spans="1:3" x14ac:dyDescent="0.35">
      <c r="A532" s="2">
        <v>73552</v>
      </c>
      <c r="B532" s="2" t="s">
        <v>179</v>
      </c>
      <c r="C532" s="2">
        <v>91</v>
      </c>
    </row>
    <row r="533" spans="1:3" x14ac:dyDescent="0.35">
      <c r="A533" s="2">
        <v>73553</v>
      </c>
      <c r="B533" s="2" t="s">
        <v>180</v>
      </c>
      <c r="C533" s="2">
        <v>91</v>
      </c>
    </row>
    <row r="534" spans="1:3" x14ac:dyDescent="0.35">
      <c r="A534" s="2">
        <v>73554</v>
      </c>
      <c r="B534" s="2" t="s">
        <v>181</v>
      </c>
      <c r="C534" s="2">
        <v>91</v>
      </c>
    </row>
    <row r="535" spans="1:3" x14ac:dyDescent="0.35">
      <c r="A535" s="2">
        <v>73555</v>
      </c>
      <c r="B535" s="2" t="s">
        <v>182</v>
      </c>
      <c r="C535" s="2">
        <v>91</v>
      </c>
    </row>
    <row r="536" spans="1:3" x14ac:dyDescent="0.35">
      <c r="A536" s="2">
        <v>73556</v>
      </c>
      <c r="B536" s="2" t="s">
        <v>183</v>
      </c>
      <c r="C536" s="2">
        <v>91</v>
      </c>
    </row>
    <row r="537" spans="1:3" x14ac:dyDescent="0.35">
      <c r="A537" s="2">
        <v>73557</v>
      </c>
      <c r="B537" s="2" t="s">
        <v>184</v>
      </c>
      <c r="C537" s="2">
        <v>91</v>
      </c>
    </row>
    <row r="538" spans="1:3" x14ac:dyDescent="0.35">
      <c r="A538" s="2">
        <v>73558</v>
      </c>
      <c r="B538" s="2" t="s">
        <v>185</v>
      </c>
      <c r="C538" s="2">
        <v>91</v>
      </c>
    </row>
    <row r="539" spans="1:3" x14ac:dyDescent="0.35">
      <c r="A539" s="2">
        <v>73559</v>
      </c>
      <c r="B539" s="2" t="s">
        <v>186</v>
      </c>
      <c r="C539" s="2">
        <v>91</v>
      </c>
    </row>
    <row r="540" spans="1:3" x14ac:dyDescent="0.35">
      <c r="A540" s="2">
        <v>73560</v>
      </c>
      <c r="B540" s="2" t="s">
        <v>187</v>
      </c>
      <c r="C540" s="2">
        <v>91</v>
      </c>
    </row>
    <row r="541" spans="1:3" x14ac:dyDescent="0.35">
      <c r="A541" s="2">
        <v>74151</v>
      </c>
      <c r="B541" s="2" t="s">
        <v>188</v>
      </c>
      <c r="C541" s="2">
        <v>91</v>
      </c>
    </row>
    <row r="542" spans="1:3" x14ac:dyDescent="0.35">
      <c r="A542" s="2">
        <v>74152</v>
      </c>
      <c r="B542" s="2" t="s">
        <v>189</v>
      </c>
      <c r="C542" s="2">
        <v>91</v>
      </c>
    </row>
    <row r="543" spans="1:3" x14ac:dyDescent="0.35">
      <c r="A543" s="2">
        <v>74198</v>
      </c>
      <c r="B543" s="2" t="s">
        <v>190</v>
      </c>
      <c r="C543" s="2">
        <v>91</v>
      </c>
    </row>
    <row r="544" spans="1:3" x14ac:dyDescent="0.35">
      <c r="A544" s="2">
        <v>74251</v>
      </c>
      <c r="B544" s="2" t="s">
        <v>191</v>
      </c>
      <c r="C544" s="2">
        <v>91</v>
      </c>
    </row>
    <row r="545" spans="1:3" x14ac:dyDescent="0.35">
      <c r="A545" s="2">
        <v>74252</v>
      </c>
      <c r="B545" s="2" t="s">
        <v>192</v>
      </c>
      <c r="C545" s="2">
        <v>91</v>
      </c>
    </row>
    <row r="546" spans="1:3" x14ac:dyDescent="0.35">
      <c r="A546" s="2">
        <v>74253</v>
      </c>
      <c r="B546" s="2" t="s">
        <v>193</v>
      </c>
      <c r="C546" s="2">
        <v>91</v>
      </c>
    </row>
    <row r="547" spans="1:3" x14ac:dyDescent="0.35">
      <c r="A547" s="2">
        <v>74298</v>
      </c>
      <c r="B547" s="2" t="s">
        <v>194</v>
      </c>
      <c r="C547" s="2">
        <v>91</v>
      </c>
    </row>
    <row r="548" spans="1:3" x14ac:dyDescent="0.35">
      <c r="A548" s="2">
        <v>74351</v>
      </c>
      <c r="B548" s="2" t="s">
        <v>195</v>
      </c>
      <c r="C548" s="2">
        <v>91</v>
      </c>
    </row>
    <row r="549" spans="1:3" x14ac:dyDescent="0.35">
      <c r="A549" s="2">
        <v>74352</v>
      </c>
      <c r="B549" s="2" t="s">
        <v>196</v>
      </c>
      <c r="C549" s="2">
        <v>91</v>
      </c>
    </row>
    <row r="550" spans="1:3" x14ac:dyDescent="0.35">
      <c r="A550" s="2">
        <v>74353</v>
      </c>
      <c r="B550" s="2" t="s">
        <v>197</v>
      </c>
      <c r="C550" s="2">
        <v>91</v>
      </c>
    </row>
    <row r="551" spans="1:3" x14ac:dyDescent="0.35">
      <c r="A551" s="2">
        <v>74398</v>
      </c>
      <c r="B551" s="2" t="s">
        <v>200</v>
      </c>
      <c r="C551" s="2">
        <v>91</v>
      </c>
    </row>
    <row r="552" spans="1:3" x14ac:dyDescent="0.35">
      <c r="A552" s="2">
        <v>74451</v>
      </c>
      <c r="B552" s="2" t="s">
        <v>201</v>
      </c>
      <c r="C552" s="2">
        <v>91</v>
      </c>
    </row>
    <row r="553" spans="1:3" x14ac:dyDescent="0.35">
      <c r="A553" s="2">
        <v>74551</v>
      </c>
      <c r="B553" s="2" t="s">
        <v>202</v>
      </c>
      <c r="C553" s="2">
        <v>91</v>
      </c>
    </row>
    <row r="554" spans="1:3" x14ac:dyDescent="0.35">
      <c r="A554" s="2">
        <v>74552</v>
      </c>
      <c r="B554" s="2" t="s">
        <v>203</v>
      </c>
      <c r="C554" s="2">
        <v>91</v>
      </c>
    </row>
    <row r="555" spans="1:3" x14ac:dyDescent="0.35">
      <c r="A555" s="2">
        <v>74553</v>
      </c>
      <c r="B555" s="2" t="s">
        <v>204</v>
      </c>
      <c r="C555" s="2">
        <v>91</v>
      </c>
    </row>
    <row r="556" spans="1:3" x14ac:dyDescent="0.35">
      <c r="A556" s="2">
        <v>74598</v>
      </c>
      <c r="B556" s="2" t="s">
        <v>205</v>
      </c>
      <c r="C556" s="2">
        <v>91</v>
      </c>
    </row>
    <row r="557" spans="1:3" x14ac:dyDescent="0.35">
      <c r="A557" s="2">
        <v>74651</v>
      </c>
      <c r="B557" s="2" t="s">
        <v>206</v>
      </c>
      <c r="C557" s="2">
        <v>91</v>
      </c>
    </row>
    <row r="558" spans="1:3" x14ac:dyDescent="0.35">
      <c r="A558" s="2">
        <v>74751</v>
      </c>
      <c r="B558" s="2" t="s">
        <v>207</v>
      </c>
      <c r="C558" s="2">
        <v>91</v>
      </c>
    </row>
    <row r="559" spans="1:3" x14ac:dyDescent="0.35">
      <c r="A559" s="2">
        <v>74760</v>
      </c>
      <c r="B559" s="2" t="s">
        <v>208</v>
      </c>
      <c r="C559" s="2">
        <v>91</v>
      </c>
    </row>
    <row r="560" spans="1:3" x14ac:dyDescent="0.35">
      <c r="A560" s="2">
        <v>74851</v>
      </c>
      <c r="B560" s="2" t="s">
        <v>209</v>
      </c>
      <c r="C560" s="2">
        <v>91</v>
      </c>
    </row>
    <row r="561" spans="1:3" x14ac:dyDescent="0.35">
      <c r="A561" s="2">
        <v>74852</v>
      </c>
      <c r="B561" s="2" t="s">
        <v>210</v>
      </c>
      <c r="C561" s="2">
        <v>91</v>
      </c>
    </row>
    <row r="562" spans="1:3" x14ac:dyDescent="0.35">
      <c r="A562" s="2">
        <v>74853</v>
      </c>
      <c r="B562" s="2" t="s">
        <v>211</v>
      </c>
      <c r="C562" s="2">
        <v>91</v>
      </c>
    </row>
    <row r="563" spans="1:3" x14ac:dyDescent="0.35">
      <c r="A563" s="2">
        <v>74854</v>
      </c>
      <c r="B563" s="2" t="s">
        <v>212</v>
      </c>
      <c r="C563" s="2">
        <v>91</v>
      </c>
    </row>
    <row r="564" spans="1:3" x14ac:dyDescent="0.35">
      <c r="A564" s="2">
        <v>74855</v>
      </c>
      <c r="B564" s="2" t="s">
        <v>213</v>
      </c>
      <c r="C564" s="2">
        <v>91</v>
      </c>
    </row>
    <row r="565" spans="1:3" x14ac:dyDescent="0.35">
      <c r="A565" s="2">
        <v>74856</v>
      </c>
      <c r="B565" s="2" t="s">
        <v>214</v>
      </c>
      <c r="C565" s="2">
        <v>91</v>
      </c>
    </row>
    <row r="566" spans="1:3" x14ac:dyDescent="0.35">
      <c r="A566" s="2">
        <v>74951</v>
      </c>
      <c r="B566" s="2" t="s">
        <v>215</v>
      </c>
      <c r="C566" s="2">
        <v>91</v>
      </c>
    </row>
    <row r="567" spans="1:3" x14ac:dyDescent="0.35">
      <c r="A567" s="2">
        <v>74952</v>
      </c>
      <c r="B567" s="2" t="s">
        <v>216</v>
      </c>
      <c r="C567" s="2">
        <v>91</v>
      </c>
    </row>
    <row r="568" spans="1:3" x14ac:dyDescent="0.35">
      <c r="A568" s="2">
        <v>74998</v>
      </c>
      <c r="B568" s="2" t="s">
        <v>217</v>
      </c>
      <c r="C568" s="2">
        <v>91</v>
      </c>
    </row>
    <row r="569" spans="1:3" x14ac:dyDescent="0.35">
      <c r="A569" s="2">
        <v>76151</v>
      </c>
      <c r="B569" s="2" t="s">
        <v>218</v>
      </c>
      <c r="C569" s="2">
        <v>81</v>
      </c>
    </row>
    <row r="570" spans="1:3" x14ac:dyDescent="0.35">
      <c r="A570" s="2">
        <v>76152</v>
      </c>
      <c r="B570" s="2" t="s">
        <v>219</v>
      </c>
      <c r="C570" s="2">
        <v>81</v>
      </c>
    </row>
    <row r="571" spans="1:3" x14ac:dyDescent="0.35">
      <c r="A571" s="2">
        <v>76153</v>
      </c>
      <c r="B571" s="2" t="s">
        <v>220</v>
      </c>
      <c r="C571" s="2">
        <v>81</v>
      </c>
    </row>
    <row r="572" spans="1:3" x14ac:dyDescent="0.35">
      <c r="A572" s="2">
        <v>76154</v>
      </c>
      <c r="B572" s="2" t="s">
        <v>221</v>
      </c>
      <c r="C572" s="2">
        <v>81</v>
      </c>
    </row>
    <row r="573" spans="1:3" x14ac:dyDescent="0.35">
      <c r="A573" s="2">
        <v>76155</v>
      </c>
      <c r="B573" s="2" t="s">
        <v>222</v>
      </c>
      <c r="C573" s="2">
        <v>81</v>
      </c>
    </row>
    <row r="574" spans="1:3" x14ac:dyDescent="0.35">
      <c r="A574" s="2">
        <v>76156</v>
      </c>
      <c r="B574" s="2" t="s">
        <v>223</v>
      </c>
      <c r="C574" s="2">
        <v>81</v>
      </c>
    </row>
    <row r="575" spans="1:3" x14ac:dyDescent="0.35">
      <c r="A575" s="2">
        <v>76157</v>
      </c>
      <c r="B575" s="2" t="s">
        <v>224</v>
      </c>
      <c r="C575" s="2">
        <v>81</v>
      </c>
    </row>
    <row r="576" spans="1:3" x14ac:dyDescent="0.35">
      <c r="A576" s="2">
        <v>76158</v>
      </c>
      <c r="B576" s="2" t="s">
        <v>225</v>
      </c>
      <c r="C576" s="2">
        <v>81</v>
      </c>
    </row>
    <row r="577" spans="1:3" x14ac:dyDescent="0.35">
      <c r="A577" s="2">
        <v>76159</v>
      </c>
      <c r="B577" s="2" t="s">
        <v>226</v>
      </c>
      <c r="C577" s="2">
        <v>81</v>
      </c>
    </row>
    <row r="578" spans="1:3" x14ac:dyDescent="0.35">
      <c r="A578" s="2">
        <v>76161</v>
      </c>
      <c r="B578" s="2" t="s">
        <v>227</v>
      </c>
      <c r="C578" s="2">
        <v>81</v>
      </c>
    </row>
    <row r="579" spans="1:3" x14ac:dyDescent="0.35">
      <c r="A579" s="2">
        <v>76162</v>
      </c>
      <c r="B579" s="2" t="s">
        <v>228</v>
      </c>
      <c r="C579" s="2">
        <v>81</v>
      </c>
    </row>
    <row r="580" spans="1:3" x14ac:dyDescent="0.35">
      <c r="A580" s="2">
        <v>76251</v>
      </c>
      <c r="B580" s="2" t="s">
        <v>229</v>
      </c>
      <c r="C580" s="2">
        <v>81</v>
      </c>
    </row>
    <row r="581" spans="1:3" x14ac:dyDescent="0.35">
      <c r="A581" s="2">
        <v>76252</v>
      </c>
      <c r="B581" s="2" t="s">
        <v>230</v>
      </c>
      <c r="C581" s="2">
        <v>81</v>
      </c>
    </row>
    <row r="582" spans="1:3" x14ac:dyDescent="0.35">
      <c r="A582" s="2">
        <v>76253</v>
      </c>
      <c r="B582" s="2" t="s">
        <v>231</v>
      </c>
      <c r="C582" s="2">
        <v>81</v>
      </c>
    </row>
    <row r="583" spans="1:3" x14ac:dyDescent="0.35">
      <c r="A583" s="2">
        <v>76254</v>
      </c>
      <c r="B583" s="2" t="s">
        <v>232</v>
      </c>
      <c r="C583" s="2">
        <v>81</v>
      </c>
    </row>
    <row r="584" spans="1:3" x14ac:dyDescent="0.35">
      <c r="A584" s="2">
        <v>76255</v>
      </c>
      <c r="B584" s="2" t="s">
        <v>233</v>
      </c>
      <c r="C584" s="2">
        <v>81</v>
      </c>
    </row>
    <row r="585" spans="1:3" x14ac:dyDescent="0.35">
      <c r="A585" s="2">
        <v>76256</v>
      </c>
      <c r="B585" s="2" t="s">
        <v>234</v>
      </c>
      <c r="C585" s="2">
        <v>81</v>
      </c>
    </row>
    <row r="586" spans="1:3" x14ac:dyDescent="0.35">
      <c r="A586" s="2">
        <v>76951</v>
      </c>
      <c r="B586" s="2" t="s">
        <v>235</v>
      </c>
      <c r="C586" s="2">
        <v>81</v>
      </c>
    </row>
    <row r="587" spans="1:3" x14ac:dyDescent="0.35">
      <c r="A587" s="2">
        <v>77151</v>
      </c>
      <c r="B587" s="2" t="s">
        <v>236</v>
      </c>
      <c r="C587" s="2">
        <v>81</v>
      </c>
    </row>
    <row r="588" spans="1:3" x14ac:dyDescent="0.35">
      <c r="A588" s="2">
        <v>77198</v>
      </c>
      <c r="B588" s="2" t="s">
        <v>237</v>
      </c>
      <c r="C588" s="2">
        <v>81</v>
      </c>
    </row>
    <row r="589" spans="1:3" x14ac:dyDescent="0.35">
      <c r="A589" s="2">
        <v>77251</v>
      </c>
      <c r="B589" s="2" t="s">
        <v>238</v>
      </c>
      <c r="C589" s="2">
        <v>81</v>
      </c>
    </row>
    <row r="590" spans="1:3" x14ac:dyDescent="0.35">
      <c r="A590" s="2">
        <v>77252</v>
      </c>
      <c r="B590" s="2" t="s">
        <v>239</v>
      </c>
      <c r="C590" s="2">
        <v>81</v>
      </c>
    </row>
    <row r="591" spans="1:3" x14ac:dyDescent="0.35">
      <c r="A591" s="2">
        <v>77253</v>
      </c>
      <c r="B591" s="2" t="s">
        <v>240</v>
      </c>
      <c r="C591" s="2">
        <v>81</v>
      </c>
    </row>
    <row r="592" spans="1:3" x14ac:dyDescent="0.35">
      <c r="A592" s="2">
        <v>77298</v>
      </c>
      <c r="B592" s="2" t="s">
        <v>241</v>
      </c>
      <c r="C592" s="2">
        <v>81</v>
      </c>
    </row>
    <row r="593" spans="1:3" x14ac:dyDescent="0.35">
      <c r="A593" s="2">
        <v>77351</v>
      </c>
      <c r="B593" s="2" t="s">
        <v>242</v>
      </c>
      <c r="C593" s="2">
        <v>81</v>
      </c>
    </row>
    <row r="594" spans="1:3" x14ac:dyDescent="0.35">
      <c r="A594" s="2">
        <v>77352</v>
      </c>
      <c r="B594" s="2" t="s">
        <v>243</v>
      </c>
      <c r="C594" s="2">
        <v>81</v>
      </c>
    </row>
    <row r="595" spans="1:3" x14ac:dyDescent="0.35">
      <c r="A595" s="2">
        <v>77353</v>
      </c>
      <c r="B595" s="2" t="s">
        <v>244</v>
      </c>
      <c r="C595" s="2">
        <v>81</v>
      </c>
    </row>
    <row r="596" spans="1:3" x14ac:dyDescent="0.35">
      <c r="A596" s="2">
        <v>77398</v>
      </c>
      <c r="B596" s="2" t="s">
        <v>245</v>
      </c>
      <c r="C596" s="2">
        <v>81</v>
      </c>
    </row>
    <row r="597" spans="1:3" x14ac:dyDescent="0.35">
      <c r="A597" s="2">
        <v>77451</v>
      </c>
      <c r="B597" s="2" t="s">
        <v>246</v>
      </c>
      <c r="C597" s="2">
        <v>81</v>
      </c>
    </row>
    <row r="598" spans="1:3" x14ac:dyDescent="0.35">
      <c r="A598" s="2">
        <v>77651</v>
      </c>
      <c r="B598" s="2" t="s">
        <v>247</v>
      </c>
      <c r="C598" s="2">
        <v>81</v>
      </c>
    </row>
    <row r="599" spans="1:3" x14ac:dyDescent="0.35">
      <c r="A599" s="2">
        <v>77951</v>
      </c>
      <c r="B599" s="2" t="s">
        <v>248</v>
      </c>
      <c r="C599" s="2">
        <v>81</v>
      </c>
    </row>
    <row r="600" spans="1:3" x14ac:dyDescent="0.35">
      <c r="A600" s="2">
        <v>77952</v>
      </c>
      <c r="B600" s="2" t="s">
        <v>249</v>
      </c>
      <c r="C600" s="2">
        <v>81</v>
      </c>
    </row>
    <row r="601" spans="1:3" x14ac:dyDescent="0.35">
      <c r="A601" s="2">
        <v>77998</v>
      </c>
      <c r="B601" s="2" t="s">
        <v>250</v>
      </c>
      <c r="C601" s="2">
        <v>81</v>
      </c>
    </row>
    <row r="602" spans="1:3" x14ac:dyDescent="0.35">
      <c r="A602" s="2">
        <v>81151</v>
      </c>
      <c r="B602" s="2" t="s">
        <v>251</v>
      </c>
      <c r="C602" s="2">
        <v>92</v>
      </c>
    </row>
    <row r="603" spans="1:3" x14ac:dyDescent="0.35">
      <c r="A603" s="2">
        <v>81251</v>
      </c>
      <c r="B603" s="2" t="s">
        <v>252</v>
      </c>
      <c r="C603" s="2">
        <v>92</v>
      </c>
    </row>
    <row r="604" spans="1:3" x14ac:dyDescent="0.35">
      <c r="A604" s="2">
        <v>81554</v>
      </c>
      <c r="B604" s="2" t="s">
        <v>253</v>
      </c>
      <c r="C604" s="2">
        <v>92</v>
      </c>
    </row>
    <row r="605" spans="1:3" x14ac:dyDescent="0.35">
      <c r="A605" s="2">
        <v>81651</v>
      </c>
      <c r="B605" s="2" t="s">
        <v>254</v>
      </c>
      <c r="C605" s="2">
        <v>92</v>
      </c>
    </row>
    <row r="606" spans="1:3" x14ac:dyDescent="0.35">
      <c r="A606" s="2">
        <v>81751</v>
      </c>
      <c r="B606" s="2" t="s">
        <v>255</v>
      </c>
      <c r="C606" s="2">
        <v>92</v>
      </c>
    </row>
    <row r="607" spans="1:3" x14ac:dyDescent="0.35">
      <c r="A607" s="2">
        <v>81954</v>
      </c>
      <c r="B607" s="2" t="s">
        <v>256</v>
      </c>
      <c r="C607" s="2">
        <v>92</v>
      </c>
    </row>
    <row r="608" spans="1:3" x14ac:dyDescent="0.35">
      <c r="A608" s="2">
        <v>82051</v>
      </c>
      <c r="B608" s="2" t="s">
        <v>257</v>
      </c>
      <c r="C608" s="2">
        <v>92</v>
      </c>
    </row>
    <row r="609" spans="1:3" x14ac:dyDescent="0.35">
      <c r="A609" s="2">
        <v>84151</v>
      </c>
      <c r="B609" s="2" t="s">
        <v>258</v>
      </c>
      <c r="C609" s="2">
        <v>92</v>
      </c>
    </row>
    <row r="610" spans="1:3" x14ac:dyDescent="0.35">
      <c r="A610" s="2">
        <v>84154</v>
      </c>
      <c r="B610" s="2" t="s">
        <v>259</v>
      </c>
      <c r="C610" s="2">
        <v>92</v>
      </c>
    </row>
    <row r="611" spans="1:3" x14ac:dyDescent="0.35">
      <c r="A611" s="2">
        <v>84351</v>
      </c>
      <c r="B611" s="2" t="s">
        <v>260</v>
      </c>
      <c r="C611" s="2">
        <v>92</v>
      </c>
    </row>
    <row r="612" spans="1:3" x14ac:dyDescent="0.35">
      <c r="A612" s="2">
        <v>84352</v>
      </c>
      <c r="B612" s="2" t="s">
        <v>261</v>
      </c>
      <c r="C612" s="2">
        <v>92</v>
      </c>
    </row>
    <row r="613" spans="1:3" x14ac:dyDescent="0.35">
      <c r="A613" s="2">
        <v>84353</v>
      </c>
      <c r="B613" s="2" t="s">
        <v>262</v>
      </c>
      <c r="C613" s="2">
        <v>92</v>
      </c>
    </row>
    <row r="614" spans="1:3" x14ac:dyDescent="0.35">
      <c r="A614" s="2">
        <v>84354</v>
      </c>
      <c r="B614" s="2" t="s">
        <v>263</v>
      </c>
      <c r="C614" s="2">
        <v>92</v>
      </c>
    </row>
    <row r="615" spans="1:3" x14ac:dyDescent="0.35">
      <c r="A615" s="2">
        <v>86101</v>
      </c>
      <c r="B615" s="2" t="s">
        <v>264</v>
      </c>
      <c r="C615" s="2">
        <v>62</v>
      </c>
    </row>
    <row r="616" spans="1:3" x14ac:dyDescent="0.35">
      <c r="A616" s="2">
        <v>86151</v>
      </c>
      <c r="B616" s="2" t="s">
        <v>265</v>
      </c>
      <c r="C616" s="2">
        <v>62</v>
      </c>
    </row>
    <row r="617" spans="1:3" x14ac:dyDescent="0.35">
      <c r="A617" s="2">
        <v>86251</v>
      </c>
      <c r="B617" s="2" t="s">
        <v>266</v>
      </c>
      <c r="C617" s="2">
        <v>82</v>
      </c>
    </row>
    <row r="618" spans="1:3" x14ac:dyDescent="0.35">
      <c r="A618" s="2">
        <v>86554</v>
      </c>
      <c r="B618" s="2" t="s">
        <v>267</v>
      </c>
      <c r="C618" s="2">
        <v>82</v>
      </c>
    </row>
    <row r="619" spans="1:3" x14ac:dyDescent="0.35">
      <c r="A619" s="2">
        <v>86651</v>
      </c>
      <c r="B619" s="2" t="s">
        <v>268</v>
      </c>
      <c r="C619" s="2">
        <v>82</v>
      </c>
    </row>
    <row r="620" spans="1:3" x14ac:dyDescent="0.35">
      <c r="A620" s="2">
        <v>86701</v>
      </c>
      <c r="B620" s="2" t="s">
        <v>269</v>
      </c>
      <c r="C620" s="2">
        <v>62</v>
      </c>
    </row>
    <row r="621" spans="1:3" x14ac:dyDescent="0.35">
      <c r="A621" s="2">
        <v>86751</v>
      </c>
      <c r="B621" s="2" t="s">
        <v>270</v>
      </c>
      <c r="C621" s="2">
        <v>82</v>
      </c>
    </row>
    <row r="622" spans="1:3" x14ac:dyDescent="0.35">
      <c r="A622" s="2">
        <v>86954</v>
      </c>
      <c r="B622" s="2" t="s">
        <v>271</v>
      </c>
      <c r="C622" s="2">
        <v>82</v>
      </c>
    </row>
    <row r="623" spans="1:3" x14ac:dyDescent="0.35">
      <c r="A623" s="2">
        <v>87001</v>
      </c>
      <c r="B623" s="2" t="s">
        <v>272</v>
      </c>
      <c r="C623" s="2">
        <v>62</v>
      </c>
    </row>
    <row r="624" spans="1:3" x14ac:dyDescent="0.35">
      <c r="A624" s="2">
        <v>87051</v>
      </c>
      <c r="B624" s="2" t="s">
        <v>273</v>
      </c>
      <c r="C624" s="2">
        <v>82</v>
      </c>
    </row>
    <row r="625" spans="1:3" x14ac:dyDescent="0.35">
      <c r="A625" s="2">
        <v>89101</v>
      </c>
      <c r="B625" s="2" t="s">
        <v>274</v>
      </c>
      <c r="C625" s="2">
        <v>62</v>
      </c>
    </row>
    <row r="626" spans="1:3" x14ac:dyDescent="0.35">
      <c r="A626" s="2">
        <v>89151</v>
      </c>
      <c r="B626" s="2" t="s">
        <v>275</v>
      </c>
      <c r="C626" s="2">
        <v>82</v>
      </c>
    </row>
    <row r="627" spans="1:3" x14ac:dyDescent="0.35">
      <c r="A627" s="2">
        <v>89154</v>
      </c>
      <c r="B627" s="2" t="s">
        <v>276</v>
      </c>
      <c r="C627" s="2">
        <v>82</v>
      </c>
    </row>
    <row r="628" spans="1:3" x14ac:dyDescent="0.35">
      <c r="A628" s="2">
        <v>89301</v>
      </c>
      <c r="B628" s="2" t="s">
        <v>277</v>
      </c>
      <c r="C628" s="2">
        <v>62</v>
      </c>
    </row>
    <row r="629" spans="1:3" x14ac:dyDescent="0.35">
      <c r="A629" s="2">
        <v>89302</v>
      </c>
      <c r="B629" s="2" t="s">
        <v>278</v>
      </c>
      <c r="C629" s="2">
        <v>62</v>
      </c>
    </row>
    <row r="630" spans="1:3" x14ac:dyDescent="0.35">
      <c r="A630" s="2">
        <v>89351</v>
      </c>
      <c r="B630" s="2" t="s">
        <v>279</v>
      </c>
      <c r="C630" s="2">
        <v>82</v>
      </c>
    </row>
    <row r="631" spans="1:3" x14ac:dyDescent="0.35">
      <c r="A631" s="2">
        <v>89352</v>
      </c>
      <c r="B631" s="2" t="s">
        <v>280</v>
      </c>
      <c r="C631" s="2">
        <v>82</v>
      </c>
    </row>
    <row r="632" spans="1:3" x14ac:dyDescent="0.35">
      <c r="A632" s="2">
        <v>89354</v>
      </c>
      <c r="B632" s="2" t="s">
        <v>281</v>
      </c>
      <c r="C632" s="2">
        <v>82</v>
      </c>
    </row>
    <row r="633" spans="1:3" x14ac:dyDescent="0.35">
      <c r="A633" s="2">
        <v>91101</v>
      </c>
      <c r="B633" s="2" t="s">
        <v>282</v>
      </c>
      <c r="C633" s="2" t="s">
        <v>724</v>
      </c>
    </row>
    <row r="634" spans="1:3" x14ac:dyDescent="0.35">
      <c r="A634" s="2">
        <v>91103</v>
      </c>
      <c r="B634" s="2" t="s">
        <v>283</v>
      </c>
      <c r="C634" s="2" t="s">
        <v>724</v>
      </c>
    </row>
    <row r="635" spans="1:3" x14ac:dyDescent="0.35">
      <c r="A635" s="2">
        <v>91104</v>
      </c>
      <c r="B635" s="2" t="s">
        <v>284</v>
      </c>
      <c r="C635" s="2" t="s">
        <v>724</v>
      </c>
    </row>
    <row r="636" spans="1:3" x14ac:dyDescent="0.35">
      <c r="A636" s="2">
        <v>91105</v>
      </c>
      <c r="B636" s="2" t="s">
        <v>285</v>
      </c>
      <c r="C636" s="2" t="s">
        <v>724</v>
      </c>
    </row>
    <row r="637" spans="1:3" x14ac:dyDescent="0.35">
      <c r="A637" s="2">
        <v>91106</v>
      </c>
      <c r="B637" s="2" t="s">
        <v>286</v>
      </c>
      <c r="C637" s="2" t="s">
        <v>724</v>
      </c>
    </row>
    <row r="638" spans="1:3" x14ac:dyDescent="0.35">
      <c r="A638" s="2">
        <v>91151</v>
      </c>
      <c r="B638" s="2" t="s">
        <v>287</v>
      </c>
      <c r="C638" s="2">
        <v>92</v>
      </c>
    </row>
    <row r="639" spans="1:3" x14ac:dyDescent="0.35">
      <c r="A639" s="2">
        <v>91152</v>
      </c>
      <c r="B639" s="2" t="s">
        <v>288</v>
      </c>
      <c r="C639" s="2">
        <v>92</v>
      </c>
    </row>
    <row r="640" spans="1:3" x14ac:dyDescent="0.35">
      <c r="A640" s="2">
        <v>91153</v>
      </c>
      <c r="B640" s="2" t="s">
        <v>289</v>
      </c>
      <c r="C640" s="2">
        <v>92</v>
      </c>
    </row>
    <row r="641" spans="1:3" x14ac:dyDescent="0.35">
      <c r="A641" s="2">
        <v>91154</v>
      </c>
      <c r="B641" s="2" t="s">
        <v>290</v>
      </c>
      <c r="C641" s="2">
        <v>92</v>
      </c>
    </row>
    <row r="642" spans="1:3" x14ac:dyDescent="0.35">
      <c r="A642" s="2">
        <v>91155</v>
      </c>
      <c r="B642" s="2" t="s">
        <v>291</v>
      </c>
      <c r="C642" s="2">
        <v>92</v>
      </c>
    </row>
    <row r="643" spans="1:3" x14ac:dyDescent="0.35">
      <c r="A643" s="2">
        <v>91156</v>
      </c>
      <c r="B643" s="2" t="s">
        <v>292</v>
      </c>
      <c r="C643" s="2">
        <v>92</v>
      </c>
    </row>
    <row r="644" spans="1:3" x14ac:dyDescent="0.35">
      <c r="A644" s="2">
        <v>91157</v>
      </c>
      <c r="B644" s="2" t="s">
        <v>293</v>
      </c>
      <c r="C644" s="2">
        <v>92</v>
      </c>
    </row>
    <row r="645" spans="1:3" x14ac:dyDescent="0.35">
      <c r="A645" s="2">
        <v>91201</v>
      </c>
      <c r="B645" s="2" t="s">
        <v>294</v>
      </c>
      <c r="C645" s="2" t="s">
        <v>724</v>
      </c>
    </row>
    <row r="646" spans="1:3" x14ac:dyDescent="0.35">
      <c r="A646" s="2">
        <v>91251</v>
      </c>
      <c r="B646" s="2" t="s">
        <v>295</v>
      </c>
      <c r="C646" s="2">
        <v>92</v>
      </c>
    </row>
    <row r="647" spans="1:3" x14ac:dyDescent="0.35">
      <c r="A647" s="2">
        <v>91252</v>
      </c>
      <c r="B647" s="2" t="s">
        <v>296</v>
      </c>
      <c r="C647" s="2">
        <v>92</v>
      </c>
    </row>
    <row r="648" spans="1:3" x14ac:dyDescent="0.35">
      <c r="A648" s="2">
        <v>91301</v>
      </c>
      <c r="B648" s="2" t="s">
        <v>297</v>
      </c>
      <c r="C648" s="2" t="s">
        <v>724</v>
      </c>
    </row>
    <row r="649" spans="1:3" x14ac:dyDescent="0.35">
      <c r="A649" s="2">
        <v>91351</v>
      </c>
      <c r="B649" s="2" t="s">
        <v>298</v>
      </c>
      <c r="C649" s="2">
        <v>92</v>
      </c>
    </row>
    <row r="650" spans="1:3" x14ac:dyDescent="0.35">
      <c r="A650" s="2">
        <v>91352</v>
      </c>
      <c r="B650" s="2" t="s">
        <v>296</v>
      </c>
      <c r="C650" s="2">
        <v>92</v>
      </c>
    </row>
    <row r="651" spans="1:3" x14ac:dyDescent="0.35">
      <c r="A651" s="2">
        <v>91801</v>
      </c>
      <c r="B651" s="2" t="s">
        <v>299</v>
      </c>
      <c r="C651" s="2" t="s">
        <v>724</v>
      </c>
    </row>
    <row r="652" spans="1:3" x14ac:dyDescent="0.35">
      <c r="A652" s="2">
        <v>95101</v>
      </c>
      <c r="B652" s="2" t="s">
        <v>300</v>
      </c>
      <c r="C652" s="2">
        <v>66</v>
      </c>
    </row>
    <row r="653" spans="1:3" x14ac:dyDescent="0.35">
      <c r="A653" s="2">
        <v>95251</v>
      </c>
      <c r="B653" s="2" t="s">
        <v>301</v>
      </c>
      <c r="C653" s="2">
        <v>86</v>
      </c>
    </row>
    <row r="654" spans="1:3" x14ac:dyDescent="0.35">
      <c r="A654" s="2">
        <v>95401</v>
      </c>
      <c r="B654" s="2" t="s">
        <v>302</v>
      </c>
      <c r="C654" s="2">
        <v>78</v>
      </c>
    </row>
    <row r="655" spans="1:3" x14ac:dyDescent="0.35">
      <c r="A655" s="2">
        <v>95501</v>
      </c>
      <c r="B655" s="2" t="s">
        <v>303</v>
      </c>
      <c r="C655" s="2">
        <v>78</v>
      </c>
    </row>
    <row r="656" spans="1:3" x14ac:dyDescent="0.35">
      <c r="A656" s="2">
        <v>95551</v>
      </c>
      <c r="B656" s="2" t="s">
        <v>304</v>
      </c>
      <c r="C656" s="2">
        <v>98</v>
      </c>
    </row>
    <row r="657" spans="1:3" x14ac:dyDescent="0.35">
      <c r="A657" s="2">
        <v>95651</v>
      </c>
      <c r="B657" s="2" t="s">
        <v>305</v>
      </c>
      <c r="C657" s="2">
        <v>98</v>
      </c>
    </row>
    <row r="658" spans="1:3" x14ac:dyDescent="0.35">
      <c r="A658" s="2">
        <v>95701</v>
      </c>
      <c r="B658" s="2" t="s">
        <v>306</v>
      </c>
      <c r="C658" s="2">
        <v>78</v>
      </c>
    </row>
    <row r="659" spans="1:3" x14ac:dyDescent="0.35">
      <c r="A659" s="2">
        <v>95801</v>
      </c>
      <c r="B659" s="2" t="s">
        <v>307</v>
      </c>
      <c r="C659" s="2">
        <v>78</v>
      </c>
    </row>
    <row r="660" spans="1:3" x14ac:dyDescent="0.35">
      <c r="A660" s="2">
        <v>96151</v>
      </c>
      <c r="B660" s="2" t="s">
        <v>308</v>
      </c>
      <c r="C660" s="2">
        <v>82</v>
      </c>
    </row>
    <row r="661" spans="1:3" x14ac:dyDescent="0.35">
      <c r="A661" s="2">
        <v>96153</v>
      </c>
      <c r="B661" s="2" t="s">
        <v>309</v>
      </c>
      <c r="C661" s="2">
        <v>82</v>
      </c>
    </row>
    <row r="662" spans="1:3" x14ac:dyDescent="0.35">
      <c r="A662" s="2">
        <v>96154</v>
      </c>
      <c r="B662" s="2" t="s">
        <v>310</v>
      </c>
      <c r="C662" s="2">
        <v>82</v>
      </c>
    </row>
    <row r="663" spans="1:3" x14ac:dyDescent="0.35">
      <c r="A663" s="2">
        <v>96155</v>
      </c>
      <c r="B663" s="2" t="s">
        <v>311</v>
      </c>
      <c r="C663" s="2">
        <v>82</v>
      </c>
    </row>
    <row r="664" spans="1:3" x14ac:dyDescent="0.35">
      <c r="A664" s="2">
        <v>96156</v>
      </c>
      <c r="B664" s="2" t="s">
        <v>312</v>
      </c>
      <c r="C664" s="2">
        <v>82</v>
      </c>
    </row>
    <row r="665" spans="1:3" x14ac:dyDescent="0.35">
      <c r="A665" s="2">
        <v>96251</v>
      </c>
      <c r="B665" s="2" t="s">
        <v>313</v>
      </c>
      <c r="C665" s="2">
        <v>82</v>
      </c>
    </row>
    <row r="666" spans="1:3" x14ac:dyDescent="0.35">
      <c r="A666" s="2">
        <v>96351</v>
      </c>
      <c r="B666" s="2" t="s">
        <v>314</v>
      </c>
      <c r="C666" s="2">
        <v>82</v>
      </c>
    </row>
    <row r="667" spans="1:3" x14ac:dyDescent="0.35">
      <c r="A667" s="2">
        <v>96801</v>
      </c>
      <c r="B667" s="2" t="s">
        <v>315</v>
      </c>
      <c r="C667" s="2">
        <v>62</v>
      </c>
    </row>
    <row r="668" spans="1:3" x14ac:dyDescent="0.35">
      <c r="A668" s="2">
        <v>99101</v>
      </c>
      <c r="B668" s="2" t="s">
        <v>316</v>
      </c>
      <c r="C668" s="2">
        <v>76</v>
      </c>
    </row>
    <row r="669" spans="1:3" x14ac:dyDescent="0.35">
      <c r="A669" s="2">
        <v>99251</v>
      </c>
      <c r="B669" s="2" t="s">
        <v>317</v>
      </c>
      <c r="C669" s="2">
        <v>96</v>
      </c>
    </row>
    <row r="670" spans="1:3" x14ac:dyDescent="0.35">
      <c r="A670" s="2">
        <v>99401</v>
      </c>
      <c r="B670" s="2" t="s">
        <v>318</v>
      </c>
      <c r="C670" s="2">
        <v>68</v>
      </c>
    </row>
    <row r="671" spans="1:3" x14ac:dyDescent="0.35">
      <c r="A671" s="2">
        <v>99551</v>
      </c>
      <c r="B671" s="2" t="s">
        <v>319</v>
      </c>
      <c r="C671" s="2">
        <v>88</v>
      </c>
    </row>
    <row r="672" spans="1:3" x14ac:dyDescent="0.35">
      <c r="A672" s="2">
        <v>99601</v>
      </c>
      <c r="B672" s="2" t="s">
        <v>320</v>
      </c>
      <c r="C672" s="2">
        <v>68</v>
      </c>
    </row>
    <row r="673" spans="1:3" x14ac:dyDescent="0.35">
      <c r="A673" s="2">
        <v>99751</v>
      </c>
      <c r="B673" s="2" t="s">
        <v>321</v>
      </c>
      <c r="C673" s="2">
        <v>88</v>
      </c>
    </row>
    <row r="674" spans="1:3" x14ac:dyDescent="0.35">
      <c r="A674" s="2">
        <v>99801</v>
      </c>
      <c r="B674" s="2" t="s">
        <v>322</v>
      </c>
      <c r="C674" s="2">
        <v>68</v>
      </c>
    </row>
    <row r="675" spans="1:3" x14ac:dyDescent="0.35">
      <c r="A675" s="2">
        <v>99802</v>
      </c>
      <c r="B675" s="2" t="s">
        <v>323</v>
      </c>
      <c r="C675" s="2">
        <v>68</v>
      </c>
    </row>
    <row r="676" spans="1:3" x14ac:dyDescent="0.35">
      <c r="A676" s="2">
        <v>14008</v>
      </c>
      <c r="B676" s="2" t="s">
        <v>324</v>
      </c>
      <c r="C676" s="2">
        <v>71</v>
      </c>
    </row>
    <row r="677" spans="1:3" x14ac:dyDescent="0.35">
      <c r="A677" s="2">
        <v>91158</v>
      </c>
      <c r="B677" s="2" t="s">
        <v>325</v>
      </c>
      <c r="C677" s="2">
        <v>92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7">
    <pageSetUpPr fitToPage="1"/>
  </sheetPr>
  <dimension ref="B1:G35"/>
  <sheetViews>
    <sheetView zoomScale="85" workbookViewId="0">
      <pane ySplit="2" topLeftCell="A5" activePane="bottomLeft" state="frozen"/>
      <selection pane="bottomLeft" activeCell="G31" sqref="G31"/>
    </sheetView>
  </sheetViews>
  <sheetFormatPr baseColWidth="10" defaultColWidth="9.109375" defaultRowHeight="14.4" x14ac:dyDescent="0.25"/>
  <cols>
    <col min="1" max="1" width="4" style="141" customWidth="1"/>
    <col min="2" max="2" width="21.44140625" style="141" customWidth="1"/>
    <col min="3" max="3" width="3.33203125" style="141" customWidth="1"/>
    <col min="4" max="4" width="10" style="141" customWidth="1"/>
    <col min="5" max="5" width="15.5546875" style="141" customWidth="1"/>
    <col min="6" max="6" width="3" style="141" customWidth="1"/>
    <col min="7" max="7" width="78.88671875" style="141" customWidth="1"/>
    <col min="8" max="16384" width="9.109375" style="141"/>
  </cols>
  <sheetData>
    <row r="1" spans="2:7" ht="15" thickBot="1" x14ac:dyDescent="0.3"/>
    <row r="2" spans="2:7" ht="16.8" thickBot="1" x14ac:dyDescent="0.3">
      <c r="B2" s="298" t="s">
        <v>371</v>
      </c>
      <c r="C2" s="299"/>
      <c r="D2" s="299"/>
      <c r="E2" s="299"/>
      <c r="F2" s="299"/>
      <c r="G2" s="300"/>
    </row>
    <row r="3" spans="2:7" ht="15" thickBot="1" x14ac:dyDescent="0.3"/>
    <row r="4" spans="2:7" ht="15" thickBot="1" x14ac:dyDescent="0.3">
      <c r="B4" s="142" t="s">
        <v>372</v>
      </c>
      <c r="C4" s="146"/>
      <c r="G4" s="142" t="s">
        <v>373</v>
      </c>
    </row>
    <row r="5" spans="2:7" ht="15" thickBot="1" x14ac:dyDescent="0.3"/>
    <row r="6" spans="2:7" ht="16.8" thickBot="1" x14ac:dyDescent="0.3">
      <c r="B6" s="145" t="s">
        <v>374</v>
      </c>
      <c r="C6" s="147"/>
      <c r="D6" s="143"/>
      <c r="E6" s="143"/>
      <c r="F6" s="144"/>
      <c r="G6" s="145" t="s">
        <v>375</v>
      </c>
    </row>
    <row r="7" spans="2:7" ht="15" thickBot="1" x14ac:dyDescent="0.3">
      <c r="B7" s="143"/>
      <c r="C7" s="143"/>
      <c r="D7" s="143"/>
      <c r="E7" s="143"/>
      <c r="F7" s="143"/>
      <c r="G7" s="143"/>
    </row>
    <row r="8" spans="2:7" ht="16.8" thickBot="1" x14ac:dyDescent="0.3">
      <c r="B8" s="145" t="s">
        <v>384</v>
      </c>
      <c r="C8" s="147"/>
      <c r="D8" s="143"/>
      <c r="E8" s="143"/>
      <c r="F8" s="144"/>
      <c r="G8" s="145" t="s">
        <v>376</v>
      </c>
    </row>
    <row r="9" spans="2:7" ht="15" thickBot="1" x14ac:dyDescent="0.3"/>
    <row r="10" spans="2:7" ht="30.75" customHeight="1" thickBot="1" x14ac:dyDescent="0.3">
      <c r="B10" s="142" t="s">
        <v>377</v>
      </c>
      <c r="D10" s="148" t="s">
        <v>378</v>
      </c>
      <c r="E10" s="149" t="s">
        <v>379</v>
      </c>
      <c r="G10" s="142" t="s">
        <v>373</v>
      </c>
    </row>
    <row r="11" spans="2:7" ht="18.75" customHeight="1" thickBot="1" x14ac:dyDescent="0.3">
      <c r="B11" s="146"/>
      <c r="D11" s="150"/>
      <c r="E11" s="151"/>
      <c r="G11" s="146"/>
    </row>
    <row r="12" spans="2:7" ht="15" thickBot="1" x14ac:dyDescent="0.3">
      <c r="B12" s="145" t="s">
        <v>351</v>
      </c>
      <c r="C12" s="143"/>
      <c r="D12" s="153" t="s">
        <v>380</v>
      </c>
      <c r="E12" s="158" t="s">
        <v>381</v>
      </c>
      <c r="F12" s="143"/>
      <c r="G12" s="145" t="s">
        <v>383</v>
      </c>
    </row>
    <row r="13" spans="2:7" ht="15" thickBot="1" x14ac:dyDescent="0.3">
      <c r="B13" s="143"/>
      <c r="C13" s="143"/>
      <c r="D13" s="152"/>
      <c r="E13" s="152"/>
      <c r="F13" s="143"/>
      <c r="G13" s="143"/>
    </row>
    <row r="14" spans="2:7" ht="15" thickBot="1" x14ac:dyDescent="0.3">
      <c r="B14" s="145" t="s">
        <v>365</v>
      </c>
      <c r="C14" s="143"/>
      <c r="D14" s="154" t="s">
        <v>382</v>
      </c>
      <c r="E14" s="158" t="s">
        <v>381</v>
      </c>
      <c r="F14" s="143"/>
      <c r="G14" s="145" t="s">
        <v>385</v>
      </c>
    </row>
    <row r="15" spans="2:7" ht="15" thickBot="1" x14ac:dyDescent="0.3">
      <c r="B15" s="143"/>
      <c r="C15" s="143"/>
      <c r="D15" s="152"/>
      <c r="E15" s="152"/>
      <c r="F15" s="143"/>
      <c r="G15" s="143"/>
    </row>
    <row r="16" spans="2:7" ht="15" thickBot="1" x14ac:dyDescent="0.3">
      <c r="B16" s="145" t="s">
        <v>352</v>
      </c>
      <c r="C16" s="143"/>
      <c r="D16" s="153" t="s">
        <v>380</v>
      </c>
      <c r="E16" s="158" t="s">
        <v>381</v>
      </c>
      <c r="F16" s="143"/>
      <c r="G16" s="145" t="s">
        <v>386</v>
      </c>
    </row>
    <row r="17" spans="2:7" ht="15" thickBot="1" x14ac:dyDescent="0.3">
      <c r="B17" s="145" t="s">
        <v>353</v>
      </c>
      <c r="C17" s="143"/>
      <c r="D17" s="153" t="s">
        <v>380</v>
      </c>
      <c r="E17" s="158" t="s">
        <v>381</v>
      </c>
      <c r="F17" s="143"/>
      <c r="G17" s="145" t="s">
        <v>387</v>
      </c>
    </row>
    <row r="18" spans="2:7" ht="15" thickBot="1" x14ac:dyDescent="0.3">
      <c r="B18" s="145" t="s">
        <v>354</v>
      </c>
      <c r="C18" s="143"/>
      <c r="D18" s="153" t="s">
        <v>380</v>
      </c>
      <c r="E18" s="270" t="s">
        <v>381</v>
      </c>
      <c r="F18" s="143"/>
      <c r="G18" s="145" t="s">
        <v>388</v>
      </c>
    </row>
    <row r="19" spans="2:7" ht="15" thickBot="1" x14ac:dyDescent="0.3">
      <c r="B19" s="143"/>
      <c r="C19" s="143"/>
      <c r="D19" s="152"/>
      <c r="E19" s="152"/>
      <c r="F19" s="143"/>
      <c r="G19" s="143"/>
    </row>
    <row r="20" spans="2:7" ht="15" thickBot="1" x14ac:dyDescent="0.3">
      <c r="B20" s="145" t="s">
        <v>355</v>
      </c>
      <c r="C20" s="143"/>
      <c r="D20" s="153" t="s">
        <v>380</v>
      </c>
      <c r="E20" s="158" t="s">
        <v>381</v>
      </c>
      <c r="F20" s="143"/>
      <c r="G20" s="145" t="s">
        <v>389</v>
      </c>
    </row>
    <row r="21" spans="2:7" ht="15" thickBot="1" x14ac:dyDescent="0.3">
      <c r="B21" s="143"/>
      <c r="C21" s="143"/>
      <c r="D21" s="152"/>
      <c r="E21" s="152"/>
      <c r="F21" s="143"/>
      <c r="G21" s="143"/>
    </row>
    <row r="22" spans="2:7" ht="15" thickBot="1" x14ac:dyDescent="0.3">
      <c r="B22" s="145" t="s">
        <v>542</v>
      </c>
      <c r="C22" s="143"/>
      <c r="D22" s="154" t="s">
        <v>382</v>
      </c>
      <c r="E22" s="158" t="s">
        <v>381</v>
      </c>
      <c r="F22" s="143"/>
      <c r="G22" s="145" t="s">
        <v>390</v>
      </c>
    </row>
    <row r="23" spans="2:7" ht="15" thickBot="1" x14ac:dyDescent="0.3">
      <c r="B23" s="143"/>
      <c r="C23" s="143"/>
      <c r="D23" s="152"/>
      <c r="E23" s="152"/>
      <c r="F23" s="143"/>
      <c r="G23" s="143"/>
    </row>
    <row r="24" spans="2:7" ht="15" thickBot="1" x14ac:dyDescent="0.3">
      <c r="B24" s="145" t="s">
        <v>356</v>
      </c>
      <c r="C24" s="143"/>
      <c r="D24" s="153" t="s">
        <v>380</v>
      </c>
      <c r="E24" s="158" t="s">
        <v>381</v>
      </c>
      <c r="F24" s="143"/>
      <c r="G24" s="145" t="s">
        <v>350</v>
      </c>
    </row>
    <row r="25" spans="2:7" ht="15" thickBot="1" x14ac:dyDescent="0.3">
      <c r="B25" s="145" t="s">
        <v>357</v>
      </c>
      <c r="C25" s="143"/>
      <c r="D25" s="154" t="s">
        <v>382</v>
      </c>
      <c r="E25" s="158" t="s">
        <v>381</v>
      </c>
      <c r="F25" s="143"/>
      <c r="G25" s="145" t="s">
        <v>391</v>
      </c>
    </row>
    <row r="26" spans="2:7" ht="15" thickBot="1" x14ac:dyDescent="0.3">
      <c r="B26" s="143"/>
      <c r="C26" s="143"/>
      <c r="D26" s="152"/>
      <c r="E26" s="152"/>
      <c r="F26" s="143"/>
      <c r="G26" s="143"/>
    </row>
    <row r="27" spans="2:7" ht="15" thickBot="1" x14ac:dyDescent="0.3">
      <c r="B27" s="145" t="s">
        <v>358</v>
      </c>
      <c r="C27" s="143"/>
      <c r="D27" s="153" t="s">
        <v>380</v>
      </c>
      <c r="E27" s="158" t="s">
        <v>381</v>
      </c>
      <c r="F27" s="143"/>
      <c r="G27" s="145" t="s">
        <v>392</v>
      </c>
    </row>
    <row r="28" spans="2:7" ht="15" thickBot="1" x14ac:dyDescent="0.3">
      <c r="B28" s="145" t="s">
        <v>359</v>
      </c>
      <c r="C28" s="143"/>
      <c r="D28" s="154" t="s">
        <v>382</v>
      </c>
      <c r="E28" s="158" t="s">
        <v>381</v>
      </c>
      <c r="F28" s="143"/>
      <c r="G28" s="145" t="s">
        <v>393</v>
      </c>
    </row>
    <row r="29" spans="2:7" ht="15" thickBot="1" x14ac:dyDescent="0.3">
      <c r="B29" s="145" t="s">
        <v>360</v>
      </c>
      <c r="C29" s="143"/>
      <c r="D29" s="154" t="s">
        <v>382</v>
      </c>
      <c r="E29" s="158" t="s">
        <v>381</v>
      </c>
      <c r="F29" s="143"/>
      <c r="G29" s="145" t="s">
        <v>394</v>
      </c>
    </row>
    <row r="30" spans="2:7" ht="15" thickBot="1" x14ac:dyDescent="0.3">
      <c r="B30" s="145" t="s">
        <v>361</v>
      </c>
      <c r="C30" s="143"/>
      <c r="D30" s="153" t="s">
        <v>380</v>
      </c>
      <c r="E30" s="158" t="s">
        <v>381</v>
      </c>
      <c r="F30" s="143"/>
      <c r="G30" s="145" t="s">
        <v>334</v>
      </c>
    </row>
    <row r="31" spans="2:7" ht="15" thickBot="1" x14ac:dyDescent="0.3">
      <c r="B31" s="145" t="s">
        <v>362</v>
      </c>
      <c r="C31" s="143"/>
      <c r="D31" s="153" t="s">
        <v>380</v>
      </c>
      <c r="E31" s="158" t="s">
        <v>381</v>
      </c>
      <c r="F31" s="143"/>
      <c r="G31" s="145" t="s">
        <v>395</v>
      </c>
    </row>
    <row r="32" spans="2:7" ht="15" thickBot="1" x14ac:dyDescent="0.3">
      <c r="B32" s="143"/>
      <c r="C32" s="143"/>
      <c r="D32" s="152"/>
      <c r="E32" s="152"/>
      <c r="F32" s="143"/>
      <c r="G32" s="143"/>
    </row>
    <row r="33" spans="2:7" ht="15" thickBot="1" x14ac:dyDescent="0.3">
      <c r="B33" s="145" t="s">
        <v>363</v>
      </c>
      <c r="C33" s="143"/>
      <c r="D33" s="154" t="s">
        <v>382</v>
      </c>
      <c r="E33" s="270" t="s">
        <v>381</v>
      </c>
      <c r="F33" s="143"/>
      <c r="G33" s="145" t="s">
        <v>396</v>
      </c>
    </row>
    <row r="34" spans="2:7" ht="15" thickBot="1" x14ac:dyDescent="0.3">
      <c r="B34" s="143"/>
      <c r="C34" s="143"/>
      <c r="D34" s="152"/>
      <c r="E34" s="152"/>
      <c r="F34" s="143"/>
      <c r="G34" s="143"/>
    </row>
    <row r="35" spans="2:7" ht="15" thickBot="1" x14ac:dyDescent="0.3">
      <c r="B35" s="145" t="s">
        <v>364</v>
      </c>
      <c r="C35" s="143"/>
      <c r="D35" s="154" t="s">
        <v>382</v>
      </c>
      <c r="E35" s="158" t="s">
        <v>381</v>
      </c>
      <c r="F35" s="143"/>
      <c r="G35" s="145" t="s">
        <v>397</v>
      </c>
    </row>
  </sheetData>
  <sheetProtection password="F0C4" sheet="1" objects="1" scenarios="1"/>
  <mergeCells count="1">
    <mergeCell ref="B2:G2"/>
  </mergeCells>
  <phoneticPr fontId="0" type="noConversion"/>
  <hyperlinks>
    <hyperlink ref="E12" location="Vbld!A1" tooltip="Aller" display="&lt;--- Aller ---&gt;"/>
    <hyperlink ref="E14" location="Rapp!A1" tooltip="Aller" display="&lt;--- Aller ---&gt;"/>
    <hyperlink ref="E16:E18" location="Vbld!A1" tooltip="Ga naar" display="&lt;--- naar ---&gt;"/>
    <hyperlink ref="E20" location="OverzTab!A1" tooltip="Aller" display="&lt;--- Aller ---&gt;"/>
    <hyperlink ref="E22" location="Codes!A1" tooltip="Aller" display="&lt;--- Aller ---&gt;"/>
    <hyperlink ref="E24" location="OverdrOntv!A1" tooltip="Aller" display="&lt;--- Aller ---&gt;"/>
    <hyperlink ref="E25" location="SchuldOntv!A1" tooltip="Aller" display="&lt;--- Aller ---&gt;"/>
    <hyperlink ref="E27" location="PersUitg!A1" tooltip="Aller" display="&lt;--- Aller ---&gt;"/>
    <hyperlink ref="E28" location="WerkUitg!A1" tooltip="Aller" display="&lt;--- Aller ---&gt;"/>
    <hyperlink ref="E29" location="OverdrUitg!A1" tooltip="Aller" display="&lt;--- Aller ---&gt;"/>
    <hyperlink ref="E30" location="CorrMech!A1" tooltip="Aller" display="&lt;--- Aller ---&gt;"/>
    <hyperlink ref="E31" location="SchUitg!A1" tooltip="Aller" display="&lt;--- Aller ---&gt;"/>
    <hyperlink ref="E33" location="Overboek!A1" tooltip="Aller" display="&lt;--- Aller ---&gt;"/>
    <hyperlink ref="E35" location="BU!A1" tooltip="Aller" display="&lt;--- Aller ---&gt;"/>
    <hyperlink ref="E16" location="AlgGeg!A1" tooltip="Aller" display="&lt;--- Aller ---&gt;"/>
    <hyperlink ref="E17" location="OntvKrediet!A1" tooltip="Aller" display="&lt;--- Aller ---&gt;"/>
    <hyperlink ref="E18" location="UitgKrediet!A1" tooltip="Aller" display="&lt;--- Allerr ---&gt;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80" orientation="landscape" horizontalDpi="300" verticalDpi="300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0" r:id="rId4" name="Button 2">
              <controlPr defaultSize="0" print="0" autoFill="0" autoPict="0" macro="[0]!mZoom.mZoom">
                <anchor moveWithCells="1" sizeWithCells="1">
                  <from>
                    <xdr:col>3</xdr:col>
                    <xdr:colOff>0</xdr:colOff>
                    <xdr:row>5</xdr:row>
                    <xdr:rowOff>0</xdr:rowOff>
                  </from>
                  <to>
                    <xdr:col>5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5" name="Button 3">
              <controlPr defaultSize="0" print="0" autoFill="0" autoPict="0" macro="[0]!RappBudg">
                <anchor moveWithCells="1" sizeWithCells="1">
                  <from>
                    <xdr:col>3</xdr:col>
                    <xdr:colOff>0</xdr:colOff>
                    <xdr:row>7</xdr:row>
                    <xdr:rowOff>0</xdr:rowOff>
                  </from>
                  <to>
                    <xdr:col>5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/>
  <dimension ref="A1:G8"/>
  <sheetViews>
    <sheetView showGridLines="0" zoomScale="85" workbookViewId="0">
      <pane ySplit="7" topLeftCell="A8" activePane="bottomLeft" state="frozen"/>
      <selection activeCell="G31" sqref="G31"/>
      <selection pane="bottomLeft" activeCell="G31" sqref="G31"/>
    </sheetView>
  </sheetViews>
  <sheetFormatPr baseColWidth="10" defaultColWidth="9.109375" defaultRowHeight="14.4" x14ac:dyDescent="0.35"/>
  <cols>
    <col min="1" max="1" width="2.109375" style="166" customWidth="1"/>
    <col min="2" max="2" width="18.33203125" style="166" customWidth="1"/>
    <col min="3" max="3" width="12.5546875" style="167" customWidth="1"/>
    <col min="4" max="16384" width="9.109375" style="166"/>
  </cols>
  <sheetData>
    <row r="1" spans="1:7" s="164" customFormat="1" ht="15.75" customHeight="1" thickBot="1" x14ac:dyDescent="0.4">
      <c r="A1" s="161" t="s">
        <v>398</v>
      </c>
      <c r="B1" s="162"/>
      <c r="C1" s="163"/>
      <c r="E1" s="164" t="s">
        <v>345</v>
      </c>
    </row>
    <row r="2" spans="1:7" s="164" customFormat="1" ht="15.75" customHeight="1" x14ac:dyDescent="0.35">
      <c r="C2" s="165"/>
      <c r="E2" s="164" t="s">
        <v>399</v>
      </c>
    </row>
    <row r="3" spans="1:7" ht="14.25" customHeight="1" x14ac:dyDescent="0.35">
      <c r="B3" s="166" t="s">
        <v>559</v>
      </c>
      <c r="G3" s="167"/>
    </row>
    <row r="4" spans="1:7" x14ac:dyDescent="0.35">
      <c r="B4" s="166" t="s">
        <v>401</v>
      </c>
      <c r="G4" s="167"/>
    </row>
    <row r="5" spans="1:7" x14ac:dyDescent="0.35">
      <c r="B5" s="166" t="s">
        <v>400</v>
      </c>
      <c r="G5" s="167"/>
    </row>
    <row r="6" spans="1:7" ht="15" thickBot="1" x14ac:dyDescent="0.4"/>
    <row r="7" spans="1:7" ht="15" thickBot="1" x14ac:dyDescent="0.4">
      <c r="B7" s="168" t="s">
        <v>402</v>
      </c>
      <c r="C7" s="169" t="s">
        <v>403</v>
      </c>
    </row>
    <row r="8" spans="1:7" x14ac:dyDescent="0.35">
      <c r="B8" s="166" t="s">
        <v>598</v>
      </c>
    </row>
  </sheetData>
  <sheetProtection password="C82F" sheet="1" objects="1" scenarios="1"/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0"/>
  <dimension ref="A1:L63"/>
  <sheetViews>
    <sheetView showGridLines="0" workbookViewId="0">
      <selection activeCell="D32" sqref="D32"/>
    </sheetView>
  </sheetViews>
  <sheetFormatPr baseColWidth="10" defaultColWidth="9.109375" defaultRowHeight="14.4" x14ac:dyDescent="0.35"/>
  <cols>
    <col min="1" max="1" width="2.6640625" style="2" customWidth="1"/>
    <col min="2" max="2" width="3.44140625" style="2" customWidth="1"/>
    <col min="3" max="3" width="32.33203125" style="2" customWidth="1"/>
    <col min="4" max="5" width="15.44140625" style="2" customWidth="1"/>
    <col min="6" max="6" width="16.109375" style="2" customWidth="1"/>
    <col min="7" max="7" width="15.109375" style="2" customWidth="1"/>
    <col min="8" max="8" width="12.44140625" style="2" customWidth="1"/>
    <col min="9" max="9" width="17.109375" style="2" customWidth="1"/>
    <col min="10" max="10" width="24.5546875" style="2" bestFit="1" customWidth="1"/>
    <col min="11" max="11" width="2.109375" style="2" hidden="1" customWidth="1"/>
    <col min="12" max="12" width="12.44140625" style="2" bestFit="1" customWidth="1"/>
    <col min="13" max="16384" width="9.109375" style="2"/>
  </cols>
  <sheetData>
    <row r="1" spans="1:11" ht="15" thickBot="1" x14ac:dyDescent="0.4">
      <c r="A1" s="109" t="s">
        <v>386</v>
      </c>
      <c r="B1" s="110"/>
      <c r="C1" s="110"/>
      <c r="D1" s="111"/>
      <c r="E1" s="82"/>
      <c r="F1" s="82"/>
      <c r="G1" s="82"/>
      <c r="H1" s="82"/>
      <c r="I1" s="82"/>
    </row>
    <row r="3" spans="1:11" x14ac:dyDescent="0.35">
      <c r="B3" s="83" t="s">
        <v>860</v>
      </c>
    </row>
    <row r="5" spans="1:11" x14ac:dyDescent="0.35">
      <c r="D5" s="84" t="str">
        <f>"Budget " &amp; 'Page de garde'!G7</f>
        <v>Budget 2021</v>
      </c>
      <c r="E5" s="84" t="s">
        <v>337</v>
      </c>
      <c r="F5" s="84" t="s">
        <v>338</v>
      </c>
      <c r="G5" s="84" t="s">
        <v>339</v>
      </c>
      <c r="H5" s="84" t="s">
        <v>340</v>
      </c>
    </row>
    <row r="6" spans="1:11" x14ac:dyDescent="0.35">
      <c r="C6" s="85" t="s">
        <v>404</v>
      </c>
      <c r="D6" s="86"/>
      <c r="E6" s="86"/>
      <c r="F6" s="86"/>
      <c r="G6" s="86"/>
      <c r="H6" s="86"/>
    </row>
    <row r="7" spans="1:11" x14ac:dyDescent="0.35">
      <c r="C7" s="85" t="s">
        <v>405</v>
      </c>
      <c r="D7" s="86"/>
      <c r="E7" s="86"/>
      <c r="F7" s="86"/>
      <c r="G7" s="86"/>
      <c r="H7" s="86"/>
    </row>
    <row r="8" spans="1:11" x14ac:dyDescent="0.35">
      <c r="C8" s="89" t="s">
        <v>406</v>
      </c>
      <c r="D8" s="159">
        <f>D7-D6</f>
        <v>0</v>
      </c>
      <c r="E8" s="159">
        <f>E7-E6</f>
        <v>0</v>
      </c>
      <c r="F8" s="159">
        <f>F7-F6</f>
        <v>0</v>
      </c>
      <c r="G8" s="159">
        <f>G7-G6</f>
        <v>0</v>
      </c>
      <c r="H8" s="159">
        <f>H7-H6</f>
        <v>0</v>
      </c>
    </row>
    <row r="9" spans="1:11" x14ac:dyDescent="0.35">
      <c r="D9" s="68"/>
      <c r="E9" s="68"/>
      <c r="F9" s="68"/>
      <c r="G9" s="68"/>
      <c r="H9" s="68"/>
    </row>
    <row r="10" spans="1:11" x14ac:dyDescent="0.35">
      <c r="B10" s="83" t="s">
        <v>409</v>
      </c>
      <c r="D10" s="68"/>
      <c r="E10" s="68"/>
      <c r="F10" s="68"/>
      <c r="G10" s="68"/>
      <c r="H10" s="68"/>
    </row>
    <row r="11" spans="1:11" x14ac:dyDescent="0.35">
      <c r="D11" s="68"/>
      <c r="E11" s="68"/>
      <c r="F11" s="68"/>
      <c r="G11" s="68"/>
      <c r="H11" s="68"/>
    </row>
    <row r="12" spans="1:11" x14ac:dyDescent="0.35">
      <c r="D12" s="87" t="str">
        <f>D5</f>
        <v>Budget 2021</v>
      </c>
      <c r="E12" s="87" t="s">
        <v>341</v>
      </c>
      <c r="F12" s="87" t="s">
        <v>342</v>
      </c>
      <c r="G12" s="87" t="s">
        <v>343</v>
      </c>
      <c r="H12" s="87" t="s">
        <v>344</v>
      </c>
      <c r="I12" s="84" t="s">
        <v>788</v>
      </c>
    </row>
    <row r="13" spans="1:11" x14ac:dyDescent="0.35">
      <c r="C13" s="85" t="s">
        <v>407</v>
      </c>
      <c r="D13" s="160"/>
      <c r="E13" s="160"/>
      <c r="F13" s="160"/>
      <c r="G13" s="160"/>
      <c r="H13" s="160"/>
      <c r="I13" s="88">
        <f>SUM(D13:H13)</f>
        <v>0</v>
      </c>
      <c r="K13" s="2">
        <f>IF(I13&lt;0,1,0)</f>
        <v>0</v>
      </c>
    </row>
    <row r="14" spans="1:11" x14ac:dyDescent="0.35">
      <c r="C14" s="85" t="s">
        <v>408</v>
      </c>
      <c r="D14" s="160"/>
      <c r="E14" s="160"/>
      <c r="F14" s="160"/>
      <c r="G14" s="160"/>
      <c r="H14" s="160"/>
      <c r="I14" s="88">
        <f>SUM(D14:H14)</f>
        <v>0</v>
      </c>
      <c r="K14" s="2">
        <f>IF(I14&lt;0,1,0)</f>
        <v>0</v>
      </c>
    </row>
    <row r="15" spans="1:11" x14ac:dyDescent="0.35">
      <c r="D15" s="68"/>
      <c r="E15" s="68"/>
      <c r="F15" s="68"/>
      <c r="G15" s="68"/>
      <c r="H15" s="68"/>
    </row>
    <row r="17" spans="2:12" x14ac:dyDescent="0.35">
      <c r="B17" s="83" t="s">
        <v>861</v>
      </c>
    </row>
    <row r="19" spans="2:12" x14ac:dyDescent="0.35">
      <c r="C19" s="104" t="s">
        <v>407</v>
      </c>
    </row>
    <row r="20" spans="2:12" x14ac:dyDescent="0.35">
      <c r="C20" s="92" t="s">
        <v>410</v>
      </c>
      <c r="D20" s="84" t="str">
        <f>D5</f>
        <v>Budget 2021</v>
      </c>
      <c r="E20" s="87" t="str">
        <f>E12</f>
        <v>MB 1 (+/-)</v>
      </c>
      <c r="F20" s="87" t="str">
        <f>F12</f>
        <v>MB 2 (+/-)</v>
      </c>
      <c r="G20" s="87" t="str">
        <f>G12</f>
        <v>MB 3 (+/-)</v>
      </c>
      <c r="H20" s="87" t="str">
        <f>H12</f>
        <v>MB 4 (+/-)</v>
      </c>
      <c r="I20" s="84" t="s">
        <v>788</v>
      </c>
      <c r="J20" s="289"/>
      <c r="K20" s="289"/>
      <c r="L20" s="289"/>
    </row>
    <row r="21" spans="2:12" x14ac:dyDescent="0.35">
      <c r="B21" s="85">
        <v>1</v>
      </c>
      <c r="C21" s="93"/>
      <c r="D21" s="94"/>
      <c r="E21" s="94"/>
      <c r="F21" s="94"/>
      <c r="G21" s="94"/>
      <c r="H21" s="94"/>
      <c r="I21" s="97">
        <f>SUM(D21:H21)</f>
        <v>0</v>
      </c>
      <c r="J21" s="290"/>
      <c r="K21" s="100"/>
      <c r="L21" s="291"/>
    </row>
    <row r="22" spans="2:12" x14ac:dyDescent="0.35">
      <c r="B22" s="85">
        <f>B21+1</f>
        <v>2</v>
      </c>
      <c r="C22" s="93"/>
      <c r="D22" s="94"/>
      <c r="E22" s="94"/>
      <c r="F22" s="94"/>
      <c r="G22" s="94"/>
      <c r="H22" s="94"/>
      <c r="I22" s="97">
        <f t="shared" ref="I22:I30" si="0">SUM(D22:H22)</f>
        <v>0</v>
      </c>
      <c r="J22" s="290"/>
      <c r="K22" s="100"/>
      <c r="L22" s="291"/>
    </row>
    <row r="23" spans="2:12" x14ac:dyDescent="0.35">
      <c r="B23" s="85">
        <f t="shared" ref="B23:B30" si="1">B22+1</f>
        <v>3</v>
      </c>
      <c r="C23" s="93"/>
      <c r="D23" s="94"/>
      <c r="E23" s="94"/>
      <c r="F23" s="94"/>
      <c r="G23" s="94"/>
      <c r="H23" s="94"/>
      <c r="I23" s="97">
        <f t="shared" si="0"/>
        <v>0</v>
      </c>
      <c r="J23" s="290"/>
      <c r="K23" s="100"/>
      <c r="L23" s="291"/>
    </row>
    <row r="24" spans="2:12" x14ac:dyDescent="0.35">
      <c r="B24" s="85">
        <f t="shared" si="1"/>
        <v>4</v>
      </c>
      <c r="C24" s="93"/>
      <c r="D24" s="94"/>
      <c r="E24" s="94"/>
      <c r="F24" s="94"/>
      <c r="G24" s="94"/>
      <c r="H24" s="94"/>
      <c r="I24" s="97">
        <f t="shared" si="0"/>
        <v>0</v>
      </c>
      <c r="J24" s="290"/>
      <c r="K24" s="100"/>
      <c r="L24" s="291"/>
    </row>
    <row r="25" spans="2:12" x14ac:dyDescent="0.35">
      <c r="B25" s="85">
        <f t="shared" si="1"/>
        <v>5</v>
      </c>
      <c r="C25" s="93"/>
      <c r="D25" s="94"/>
      <c r="E25" s="94"/>
      <c r="F25" s="94"/>
      <c r="G25" s="94"/>
      <c r="H25" s="94"/>
      <c r="I25" s="97">
        <f t="shared" si="0"/>
        <v>0</v>
      </c>
      <c r="J25" s="290"/>
      <c r="K25" s="100"/>
      <c r="L25" s="291"/>
    </row>
    <row r="26" spans="2:12" x14ac:dyDescent="0.35">
      <c r="B26" s="85">
        <f t="shared" si="1"/>
        <v>6</v>
      </c>
      <c r="C26" s="93"/>
      <c r="D26" s="94"/>
      <c r="E26" s="94"/>
      <c r="F26" s="94"/>
      <c r="G26" s="94"/>
      <c r="H26" s="94"/>
      <c r="I26" s="97">
        <f t="shared" si="0"/>
        <v>0</v>
      </c>
      <c r="J26" s="290"/>
      <c r="K26" s="100"/>
      <c r="L26" s="291"/>
    </row>
    <row r="27" spans="2:12" x14ac:dyDescent="0.35">
      <c r="B27" s="85">
        <f t="shared" si="1"/>
        <v>7</v>
      </c>
      <c r="C27" s="93"/>
      <c r="D27" s="94"/>
      <c r="E27" s="94"/>
      <c r="F27" s="94"/>
      <c r="G27" s="94"/>
      <c r="H27" s="94"/>
      <c r="I27" s="97">
        <f t="shared" si="0"/>
        <v>0</v>
      </c>
      <c r="J27" s="290"/>
      <c r="K27" s="100"/>
      <c r="L27" s="291"/>
    </row>
    <row r="28" spans="2:12" x14ac:dyDescent="0.35">
      <c r="B28" s="85">
        <f t="shared" si="1"/>
        <v>8</v>
      </c>
      <c r="C28" s="93"/>
      <c r="D28" s="94"/>
      <c r="E28" s="94"/>
      <c r="F28" s="94"/>
      <c r="G28" s="94"/>
      <c r="H28" s="94"/>
      <c r="I28" s="97">
        <f t="shared" si="0"/>
        <v>0</v>
      </c>
      <c r="J28" s="290"/>
      <c r="K28" s="100"/>
      <c r="L28" s="291"/>
    </row>
    <row r="29" spans="2:12" x14ac:dyDescent="0.35">
      <c r="B29" s="85">
        <f t="shared" si="1"/>
        <v>9</v>
      </c>
      <c r="C29" s="93"/>
      <c r="D29" s="94"/>
      <c r="E29" s="94"/>
      <c r="F29" s="94"/>
      <c r="G29" s="94"/>
      <c r="H29" s="94"/>
      <c r="I29" s="97">
        <f t="shared" si="0"/>
        <v>0</v>
      </c>
      <c r="J29" s="290"/>
      <c r="K29" s="100"/>
      <c r="L29" s="291"/>
    </row>
    <row r="30" spans="2:12" x14ac:dyDescent="0.35">
      <c r="B30" s="85">
        <f t="shared" si="1"/>
        <v>10</v>
      </c>
      <c r="C30" s="93"/>
      <c r="D30" s="94"/>
      <c r="E30" s="94"/>
      <c r="F30" s="94"/>
      <c r="G30" s="94"/>
      <c r="H30" s="94"/>
      <c r="I30" s="97">
        <f t="shared" si="0"/>
        <v>0</v>
      </c>
      <c r="J30" s="290"/>
      <c r="K30" s="100"/>
      <c r="L30" s="291"/>
    </row>
    <row r="31" spans="2:12" x14ac:dyDescent="0.35">
      <c r="B31" s="100"/>
      <c r="C31" s="101"/>
      <c r="D31" s="98">
        <f t="shared" ref="D31:I31" si="2">SUM(D21:D30)</f>
        <v>0</v>
      </c>
      <c r="E31" s="98">
        <f t="shared" si="2"/>
        <v>0</v>
      </c>
      <c r="F31" s="98">
        <f t="shared" si="2"/>
        <v>0</v>
      </c>
      <c r="G31" s="98">
        <f t="shared" si="2"/>
        <v>0</v>
      </c>
      <c r="H31" s="98">
        <f t="shared" si="2"/>
        <v>0</v>
      </c>
      <c r="I31" s="97">
        <f t="shared" si="2"/>
        <v>0</v>
      </c>
      <c r="J31" s="292"/>
      <c r="K31" s="289"/>
      <c r="L31" s="293"/>
    </row>
    <row r="32" spans="2:12" x14ac:dyDescent="0.35">
      <c r="B32" s="100"/>
      <c r="C32" s="100"/>
      <c r="D32" s="100"/>
      <c r="E32" s="100"/>
      <c r="F32" s="100"/>
      <c r="G32" s="100"/>
      <c r="H32" s="100"/>
      <c r="I32" s="100"/>
    </row>
    <row r="33" spans="2:9" x14ac:dyDescent="0.35">
      <c r="B33" s="100"/>
      <c r="C33" s="104" t="s">
        <v>408</v>
      </c>
      <c r="D33" s="100"/>
      <c r="E33" s="100"/>
      <c r="F33" s="100"/>
      <c r="G33" s="100"/>
      <c r="H33" s="100"/>
      <c r="I33" s="100"/>
    </row>
    <row r="34" spans="2:9" x14ac:dyDescent="0.35">
      <c r="B34" s="100"/>
      <c r="C34" s="90" t="str">
        <f t="shared" ref="C34:H34" si="3">C20</f>
        <v>Nom de la commune</v>
      </c>
      <c r="D34" s="84" t="str">
        <f t="shared" si="3"/>
        <v>Budget 2021</v>
      </c>
      <c r="E34" s="84" t="str">
        <f t="shared" si="3"/>
        <v>MB 1 (+/-)</v>
      </c>
      <c r="F34" s="84" t="str">
        <f t="shared" si="3"/>
        <v>MB 2 (+/-)</v>
      </c>
      <c r="G34" s="84" t="str">
        <f t="shared" si="3"/>
        <v>MB 3 (+/-)</v>
      </c>
      <c r="H34" s="84" t="str">
        <f t="shared" si="3"/>
        <v>MB 4 (+/-)</v>
      </c>
      <c r="I34" s="84" t="s">
        <v>788</v>
      </c>
    </row>
    <row r="35" spans="2:9" x14ac:dyDescent="0.35">
      <c r="B35" s="85">
        <f t="shared" ref="B35:B44" si="4">B21</f>
        <v>1</v>
      </c>
      <c r="C35" s="96" t="str">
        <f t="shared" ref="C35:C44" si="5">IF(C21="","",C21)</f>
        <v/>
      </c>
      <c r="D35" s="94"/>
      <c r="E35" s="94"/>
      <c r="F35" s="94"/>
      <c r="G35" s="94"/>
      <c r="H35" s="94"/>
      <c r="I35" s="97">
        <f>SUM(D35:H35)</f>
        <v>0</v>
      </c>
    </row>
    <row r="36" spans="2:9" x14ac:dyDescent="0.35">
      <c r="B36" s="85">
        <f t="shared" si="4"/>
        <v>2</v>
      </c>
      <c r="C36" s="96" t="str">
        <f t="shared" si="5"/>
        <v/>
      </c>
      <c r="D36" s="94"/>
      <c r="E36" s="94"/>
      <c r="F36" s="94"/>
      <c r="G36" s="94"/>
      <c r="H36" s="94"/>
      <c r="I36" s="97">
        <f t="shared" ref="I36:I44" si="6">SUM(D36:H36)</f>
        <v>0</v>
      </c>
    </row>
    <row r="37" spans="2:9" x14ac:dyDescent="0.35">
      <c r="B37" s="85">
        <f t="shared" si="4"/>
        <v>3</v>
      </c>
      <c r="C37" s="96" t="str">
        <f t="shared" si="5"/>
        <v/>
      </c>
      <c r="D37" s="94"/>
      <c r="E37" s="94"/>
      <c r="F37" s="94"/>
      <c r="G37" s="94"/>
      <c r="H37" s="94"/>
      <c r="I37" s="97">
        <f t="shared" si="6"/>
        <v>0</v>
      </c>
    </row>
    <row r="38" spans="2:9" x14ac:dyDescent="0.35">
      <c r="B38" s="85">
        <f t="shared" si="4"/>
        <v>4</v>
      </c>
      <c r="C38" s="96" t="str">
        <f t="shared" si="5"/>
        <v/>
      </c>
      <c r="D38" s="94"/>
      <c r="E38" s="94"/>
      <c r="F38" s="94"/>
      <c r="G38" s="94"/>
      <c r="H38" s="94"/>
      <c r="I38" s="97">
        <f t="shared" si="6"/>
        <v>0</v>
      </c>
    </row>
    <row r="39" spans="2:9" x14ac:dyDescent="0.35">
      <c r="B39" s="85">
        <f t="shared" si="4"/>
        <v>5</v>
      </c>
      <c r="C39" s="96" t="str">
        <f t="shared" si="5"/>
        <v/>
      </c>
      <c r="D39" s="94"/>
      <c r="E39" s="94"/>
      <c r="F39" s="94"/>
      <c r="G39" s="94"/>
      <c r="H39" s="94"/>
      <c r="I39" s="97">
        <f t="shared" si="6"/>
        <v>0</v>
      </c>
    </row>
    <row r="40" spans="2:9" x14ac:dyDescent="0.35">
      <c r="B40" s="85">
        <f t="shared" si="4"/>
        <v>6</v>
      </c>
      <c r="C40" s="96" t="str">
        <f t="shared" si="5"/>
        <v/>
      </c>
      <c r="D40" s="94"/>
      <c r="E40" s="94"/>
      <c r="F40" s="94"/>
      <c r="G40" s="94"/>
      <c r="H40" s="94"/>
      <c r="I40" s="97">
        <f t="shared" si="6"/>
        <v>0</v>
      </c>
    </row>
    <row r="41" spans="2:9" x14ac:dyDescent="0.35">
      <c r="B41" s="85">
        <f t="shared" si="4"/>
        <v>7</v>
      </c>
      <c r="C41" s="96" t="str">
        <f t="shared" si="5"/>
        <v/>
      </c>
      <c r="D41" s="94"/>
      <c r="E41" s="94"/>
      <c r="F41" s="94"/>
      <c r="G41" s="94"/>
      <c r="H41" s="94"/>
      <c r="I41" s="97">
        <f t="shared" si="6"/>
        <v>0</v>
      </c>
    </row>
    <row r="42" spans="2:9" x14ac:dyDescent="0.35">
      <c r="B42" s="85">
        <f t="shared" si="4"/>
        <v>8</v>
      </c>
      <c r="C42" s="96" t="str">
        <f t="shared" si="5"/>
        <v/>
      </c>
      <c r="D42" s="94"/>
      <c r="E42" s="94"/>
      <c r="F42" s="94"/>
      <c r="G42" s="94"/>
      <c r="H42" s="94"/>
      <c r="I42" s="97">
        <f t="shared" si="6"/>
        <v>0</v>
      </c>
    </row>
    <row r="43" spans="2:9" x14ac:dyDescent="0.35">
      <c r="B43" s="85">
        <f t="shared" si="4"/>
        <v>9</v>
      </c>
      <c r="C43" s="96" t="str">
        <f t="shared" si="5"/>
        <v/>
      </c>
      <c r="D43" s="94"/>
      <c r="E43" s="94"/>
      <c r="F43" s="94"/>
      <c r="G43" s="94"/>
      <c r="H43" s="94"/>
      <c r="I43" s="97">
        <f t="shared" si="6"/>
        <v>0</v>
      </c>
    </row>
    <row r="44" spans="2:9" x14ac:dyDescent="0.35">
      <c r="B44" s="85">
        <f t="shared" si="4"/>
        <v>10</v>
      </c>
      <c r="C44" s="96" t="str">
        <f t="shared" si="5"/>
        <v/>
      </c>
      <c r="D44" s="94"/>
      <c r="E44" s="94"/>
      <c r="F44" s="94"/>
      <c r="G44" s="94"/>
      <c r="H44" s="94"/>
      <c r="I44" s="97">
        <f t="shared" si="6"/>
        <v>0</v>
      </c>
    </row>
    <row r="45" spans="2:9" x14ac:dyDescent="0.35">
      <c r="B45" s="100"/>
      <c r="C45" s="100"/>
      <c r="D45" s="97">
        <f t="shared" ref="D45:I45" si="7">SUM(D35:D44)</f>
        <v>0</v>
      </c>
      <c r="E45" s="97">
        <f t="shared" si="7"/>
        <v>0</v>
      </c>
      <c r="F45" s="97">
        <f t="shared" si="7"/>
        <v>0</v>
      </c>
      <c r="G45" s="97">
        <f t="shared" si="7"/>
        <v>0</v>
      </c>
      <c r="H45" s="97">
        <f t="shared" si="7"/>
        <v>0</v>
      </c>
      <c r="I45" s="97">
        <f t="shared" si="7"/>
        <v>0</v>
      </c>
    </row>
    <row r="47" spans="2:9" x14ac:dyDescent="0.35">
      <c r="B47" s="83" t="s">
        <v>368</v>
      </c>
    </row>
    <row r="48" spans="2:9" ht="15" thickBot="1" x14ac:dyDescent="0.4"/>
    <row r="49" spans="2:11" ht="15" thickBot="1" x14ac:dyDescent="0.4">
      <c r="C49" s="102" t="s">
        <v>599</v>
      </c>
      <c r="D49" s="102"/>
      <c r="E49" s="103"/>
      <c r="F49" s="81"/>
    </row>
    <row r="51" spans="2:11" x14ac:dyDescent="0.35">
      <c r="B51" s="83" t="s">
        <v>411</v>
      </c>
    </row>
    <row r="53" spans="2:11" x14ac:dyDescent="0.35">
      <c r="C53" s="2" t="b">
        <v>0</v>
      </c>
      <c r="K53" s="2">
        <f>IF(C53=FALSE,1,0)</f>
        <v>1</v>
      </c>
    </row>
    <row r="55" spans="2:11" x14ac:dyDescent="0.35">
      <c r="C55" s="2" t="b">
        <v>0</v>
      </c>
      <c r="K55" s="2">
        <f>IF(C55=FALSE,1,0)</f>
        <v>1</v>
      </c>
    </row>
    <row r="57" spans="2:11" x14ac:dyDescent="0.35">
      <c r="C57" s="2" t="b">
        <v>0</v>
      </c>
      <c r="K57" s="2">
        <f>IF(C57=FALSE,1,0)</f>
        <v>1</v>
      </c>
    </row>
    <row r="59" spans="2:11" x14ac:dyDescent="0.35">
      <c r="C59" s="2" t="b">
        <v>0</v>
      </c>
      <c r="K59" s="2">
        <f>IF(C59=FALSE,1,0)</f>
        <v>1</v>
      </c>
    </row>
    <row r="61" spans="2:11" x14ac:dyDescent="0.35">
      <c r="C61" s="2" t="b">
        <v>0</v>
      </c>
      <c r="K61" s="2">
        <f>IF(C61=FALSE,1,0)</f>
        <v>1</v>
      </c>
    </row>
    <row r="63" spans="2:11" x14ac:dyDescent="0.35">
      <c r="C63" s="2" t="b">
        <v>0</v>
      </c>
      <c r="K63" s="2">
        <f>IF(C63=FALSE,1,0)</f>
        <v>1</v>
      </c>
    </row>
  </sheetData>
  <phoneticPr fontId="0" type="noConversion"/>
  <conditionalFormatting sqref="D8:H9">
    <cfRule type="cellIs" dxfId="20" priority="1" stopIfTrue="1" operator="greaterThan">
      <formula>20</formula>
    </cfRule>
  </conditionalFormatting>
  <conditionalFormatting sqref="I13:I14">
    <cfRule type="cellIs" dxfId="19" priority="2" stopIfTrue="1" operator="lessThan">
      <formula>0</formula>
    </cfRule>
  </conditionalFormatting>
  <dataValidations count="1">
    <dataValidation type="list" allowBlank="1" showInputMessage="1" showErrorMessage="1" sqref="F49">
      <formula1>JN</formula1>
    </dataValidation>
  </dataValidations>
  <pageMargins left="0.75" right="0.75" top="0.54" bottom="0.56999999999999995" header="0.5" footer="0.3"/>
  <pageSetup paperSize="9" orientation="landscape" horizontalDpi="300" verticalDpi="300" r:id="rId1"/>
  <headerFooter alignWithMargins="0">
    <oddFooter>&amp;R&amp;A</oddFooter>
  </headerFooter>
  <rowBreaks count="1" manualBreakCount="1">
    <brk id="4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r:id="rId4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52</xdr:row>
                    <xdr:rowOff>0</xdr:rowOff>
                  </from>
                  <to>
                    <xdr:col>4</xdr:col>
                    <xdr:colOff>571500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5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54</xdr:row>
                    <xdr:rowOff>0</xdr:rowOff>
                  </from>
                  <to>
                    <xdr:col>4</xdr:col>
                    <xdr:colOff>571500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56</xdr:row>
                    <xdr:rowOff>0</xdr:rowOff>
                  </from>
                  <to>
                    <xdr:col>4</xdr:col>
                    <xdr:colOff>571500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7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58</xdr:row>
                    <xdr:rowOff>0</xdr:rowOff>
                  </from>
                  <to>
                    <xdr:col>4</xdr:col>
                    <xdr:colOff>571500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8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60</xdr:row>
                    <xdr:rowOff>0</xdr:rowOff>
                  </from>
                  <to>
                    <xdr:col>4</xdr:col>
                    <xdr:colOff>571500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9" name="Check Box 9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0</xdr:rowOff>
                  </from>
                  <to>
                    <xdr:col>4</xdr:col>
                    <xdr:colOff>571500</xdr:colOff>
                    <xdr:row>63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5"/>
  <dimension ref="A1:S505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baseColWidth="10" defaultColWidth="9.109375" defaultRowHeight="14.4" x14ac:dyDescent="0.35"/>
  <cols>
    <col min="1" max="1" width="6.33203125" style="3" customWidth="1"/>
    <col min="2" max="2" width="7.5546875" style="3" bestFit="1" customWidth="1"/>
    <col min="3" max="3" width="8.6640625" style="4" bestFit="1" customWidth="1"/>
    <col min="4" max="4" width="18" style="4" bestFit="1" customWidth="1"/>
    <col min="5" max="5" width="11.33203125" style="4" bestFit="1" customWidth="1"/>
    <col min="6" max="6" width="42.44140625" style="4" customWidth="1"/>
    <col min="7" max="7" width="19" style="4" customWidth="1"/>
    <col min="8" max="9" width="19.6640625" style="4" customWidth="1"/>
    <col min="10" max="13" width="15.6640625" style="4" customWidth="1"/>
    <col min="14" max="14" width="15.6640625" style="27" customWidth="1"/>
    <col min="15" max="15" width="10.44140625" style="4" bestFit="1" customWidth="1"/>
    <col min="16" max="16" width="5.5546875" style="4" hidden="1" customWidth="1"/>
    <col min="17" max="17" width="4.33203125" style="4" hidden="1" customWidth="1"/>
    <col min="18" max="18" width="6.6640625" style="4" hidden="1" customWidth="1"/>
    <col min="19" max="19" width="5.5546875" style="4" hidden="1" customWidth="1"/>
    <col min="20" max="16384" width="9.109375" style="4"/>
  </cols>
  <sheetData>
    <row r="1" spans="1:19" ht="16.8" thickBot="1" x14ac:dyDescent="0.4">
      <c r="A1" s="105" t="s">
        <v>412</v>
      </c>
      <c r="B1" s="106"/>
      <c r="C1" s="107"/>
      <c r="D1" s="107"/>
      <c r="E1" s="107"/>
      <c r="F1" s="108"/>
      <c r="G1" s="46"/>
      <c r="H1" s="46"/>
      <c r="I1" s="46"/>
      <c r="J1" s="46"/>
      <c r="K1" s="46"/>
      <c r="L1" s="46"/>
      <c r="M1" s="46"/>
      <c r="N1" s="47"/>
    </row>
    <row r="2" spans="1:19" x14ac:dyDescent="0.35">
      <c r="A2" s="10" t="str">
        <f>"Document nécessaire : budget " &amp;'Page de garde'!G7</f>
        <v>Document nécessaire : budget 2021</v>
      </c>
      <c r="I2" s="245"/>
    </row>
    <row r="3" spans="1:19" ht="15" thickBot="1" x14ac:dyDescent="0.4">
      <c r="I3" s="245"/>
    </row>
    <row r="4" spans="1:19" ht="15" thickBot="1" x14ac:dyDescent="0.4">
      <c r="A4" s="52" t="s">
        <v>414</v>
      </c>
      <c r="B4" s="52" t="s">
        <v>413</v>
      </c>
      <c r="C4" s="52" t="s">
        <v>720</v>
      </c>
      <c r="D4" s="48" t="s">
        <v>415</v>
      </c>
      <c r="E4" s="8" t="s">
        <v>416</v>
      </c>
      <c r="F4" s="49" t="s">
        <v>417</v>
      </c>
      <c r="G4" s="43" t="str">
        <f>"Compte " &amp; 'Page de garde'!G7-2</f>
        <v>Compte 2019</v>
      </c>
      <c r="H4" s="43" t="str">
        <f>"Budget " &amp; 'Page de garde'!G7-1</f>
        <v>Budget 2020</v>
      </c>
      <c r="I4" s="43" t="str">
        <f>"Budget " &amp; 'Page de garde'!G7</f>
        <v>Budget 2021</v>
      </c>
      <c r="J4" s="44" t="s">
        <v>346</v>
      </c>
      <c r="K4" s="5" t="s">
        <v>347</v>
      </c>
      <c r="L4" s="5" t="s">
        <v>348</v>
      </c>
      <c r="M4" s="42" t="s">
        <v>349</v>
      </c>
      <c r="N4" s="45" t="str">
        <f>I4</f>
        <v>Budget 2021</v>
      </c>
      <c r="P4" s="4" t="s">
        <v>541</v>
      </c>
      <c r="Q4" s="4" t="s">
        <v>531</v>
      </c>
      <c r="R4" s="4" t="s">
        <v>718</v>
      </c>
      <c r="S4" s="4" t="s">
        <v>555</v>
      </c>
    </row>
    <row r="5" spans="1:19" x14ac:dyDescent="0.35">
      <c r="A5" s="53"/>
      <c r="B5" s="56"/>
      <c r="C5" s="59"/>
      <c r="D5" s="6" t="str">
        <f t="shared" ref="D5:D68" si="0">IF(OR(B5="",C5=""),"",CONCATENATE(B5,"/",LEFT(C5,3),"-",RIGHT(C5,2)))</f>
        <v/>
      </c>
      <c r="E5" s="62" t="str">
        <f>IF(OR(C5="",A5=""),"",IF(A5&lt;'Page de garde'!$G$7,IF(VALUE(RIGHT(C5,2))&lt;50,66,86),INDEX(EC!$C$2:$C$677,MATCH(C5,EC,0))))</f>
        <v/>
      </c>
      <c r="F5" s="32" t="str">
        <f t="shared" ref="F5:F68" si="1">IF(C5="","",INDEX(OmEC,MATCH(C5,EC,0)))</f>
        <v/>
      </c>
      <c r="G5" s="37"/>
      <c r="H5" s="37"/>
      <c r="I5" s="37"/>
      <c r="J5" s="35"/>
      <c r="K5" s="28"/>
      <c r="L5" s="28"/>
      <c r="M5" s="30"/>
      <c r="N5" s="174">
        <f t="shared" ref="N5:N68" si="2">SUM(I5:M5)</f>
        <v>0</v>
      </c>
      <c r="P5" s="4" t="str">
        <f t="shared" ref="P5:P68" si="3">LEFT(C5,3)</f>
        <v/>
      </c>
      <c r="Q5" s="4" t="str">
        <f>IF(C5="","",IF(VALUE(RIGHT(C5,2))&lt;50,"G","B"))</f>
        <v/>
      </c>
      <c r="R5" s="4" t="str">
        <f>CONCATENATE(D5,"/",A5)</f>
        <v>/</v>
      </c>
      <c r="S5" s="4" t="str">
        <f>IF(B5="","",LEFT(B5,3))</f>
        <v/>
      </c>
    </row>
    <row r="6" spans="1:19" x14ac:dyDescent="0.35">
      <c r="A6" s="54"/>
      <c r="B6" s="57"/>
      <c r="C6" s="60"/>
      <c r="D6" s="7" t="str">
        <f t="shared" si="0"/>
        <v/>
      </c>
      <c r="E6" s="63" t="str">
        <f>IF(OR(C6="",A6=""),"",IF(A6&lt;'Page de garde'!$G$7,IF(VALUE(RIGHT(C6,2))&lt;50,66,86),INDEX(EC!$C$2:$C$677,MATCH(C6,EC,0))))</f>
        <v/>
      </c>
      <c r="F6" s="33" t="str">
        <f t="shared" si="1"/>
        <v/>
      </c>
      <c r="G6" s="38"/>
      <c r="H6" s="38"/>
      <c r="I6" s="38"/>
      <c r="J6" s="36"/>
      <c r="K6" s="29"/>
      <c r="L6" s="29"/>
      <c r="M6" s="31"/>
      <c r="N6" s="40">
        <f t="shared" si="2"/>
        <v>0</v>
      </c>
      <c r="P6" s="4" t="str">
        <f t="shared" si="3"/>
        <v/>
      </c>
      <c r="Q6" s="4" t="str">
        <f t="shared" ref="Q6:Q69" si="4">IF(C6="","",IF(VALUE(RIGHT(C6,2))&lt;50,"G","B"))</f>
        <v/>
      </c>
      <c r="R6" s="4" t="str">
        <f t="shared" ref="R6:R69" si="5">CONCATENATE(D6,"/",A6)</f>
        <v>/</v>
      </c>
      <c r="S6" s="4" t="str">
        <f t="shared" ref="S6:S69" si="6">IF(B6="","",LEFT(B6,3))</f>
        <v/>
      </c>
    </row>
    <row r="7" spans="1:19" x14ac:dyDescent="0.35">
      <c r="A7" s="54"/>
      <c r="B7" s="57"/>
      <c r="C7" s="60"/>
      <c r="D7" s="7" t="str">
        <f t="shared" si="0"/>
        <v/>
      </c>
      <c r="E7" s="63" t="str">
        <f>IF(OR(C7="",A7=""),"",IF(A7&lt;'Page de garde'!$G$7,IF(VALUE(RIGHT(C7,2))&lt;50,66,86),INDEX(EC!$C$2:$C$677,MATCH(C7,EC,0))))</f>
        <v/>
      </c>
      <c r="F7" s="33" t="str">
        <f t="shared" si="1"/>
        <v/>
      </c>
      <c r="G7" s="38"/>
      <c r="H7" s="38"/>
      <c r="I7" s="38"/>
      <c r="J7" s="36"/>
      <c r="K7" s="29"/>
      <c r="L7" s="29"/>
      <c r="M7" s="31"/>
      <c r="N7" s="40">
        <f t="shared" si="2"/>
        <v>0</v>
      </c>
      <c r="P7" s="4" t="str">
        <f t="shared" si="3"/>
        <v/>
      </c>
      <c r="Q7" s="4" t="str">
        <f t="shared" si="4"/>
        <v/>
      </c>
      <c r="R7" s="4" t="str">
        <f t="shared" si="5"/>
        <v>/</v>
      </c>
      <c r="S7" s="4" t="str">
        <f t="shared" si="6"/>
        <v/>
      </c>
    </row>
    <row r="8" spans="1:19" x14ac:dyDescent="0.35">
      <c r="A8" s="54"/>
      <c r="B8" s="57"/>
      <c r="C8" s="60"/>
      <c r="D8" s="7" t="str">
        <f t="shared" si="0"/>
        <v/>
      </c>
      <c r="E8" s="63" t="str">
        <f>IF(OR(C8="",A8=""),"",IF(A8&lt;'Page de garde'!$G$7,IF(VALUE(RIGHT(C8,2))&lt;50,66,86),INDEX(EC!$C$2:$C$677,MATCH(C8,EC,0))))</f>
        <v/>
      </c>
      <c r="F8" s="33" t="str">
        <f t="shared" si="1"/>
        <v/>
      </c>
      <c r="G8" s="38"/>
      <c r="H8" s="38"/>
      <c r="I8" s="38"/>
      <c r="J8" s="36"/>
      <c r="K8" s="29"/>
      <c r="L8" s="29"/>
      <c r="M8" s="31"/>
      <c r="N8" s="40">
        <f t="shared" si="2"/>
        <v>0</v>
      </c>
      <c r="P8" s="4" t="str">
        <f t="shared" si="3"/>
        <v/>
      </c>
      <c r="Q8" s="4" t="str">
        <f t="shared" si="4"/>
        <v/>
      </c>
      <c r="R8" s="4" t="str">
        <f t="shared" si="5"/>
        <v>/</v>
      </c>
      <c r="S8" s="4" t="str">
        <f t="shared" si="6"/>
        <v/>
      </c>
    </row>
    <row r="9" spans="1:19" x14ac:dyDescent="0.35">
      <c r="A9" s="54"/>
      <c r="B9" s="57"/>
      <c r="C9" s="60"/>
      <c r="D9" s="7" t="str">
        <f t="shared" si="0"/>
        <v/>
      </c>
      <c r="E9" s="63" t="str">
        <f>IF(OR(C9="",A9=""),"",IF(A9&lt;'Page de garde'!$G$7,IF(VALUE(RIGHT(C9,2))&lt;50,66,86),INDEX(EC!$C$2:$C$677,MATCH(C9,EC,0))))</f>
        <v/>
      </c>
      <c r="F9" s="33" t="str">
        <f t="shared" si="1"/>
        <v/>
      </c>
      <c r="G9" s="38"/>
      <c r="H9" s="38"/>
      <c r="I9" s="38"/>
      <c r="J9" s="36"/>
      <c r="K9" s="29"/>
      <c r="L9" s="29"/>
      <c r="M9" s="31"/>
      <c r="N9" s="40">
        <f t="shared" si="2"/>
        <v>0</v>
      </c>
      <c r="P9" s="4" t="str">
        <f t="shared" si="3"/>
        <v/>
      </c>
      <c r="Q9" s="4" t="str">
        <f t="shared" si="4"/>
        <v/>
      </c>
      <c r="R9" s="4" t="str">
        <f t="shared" si="5"/>
        <v>/</v>
      </c>
      <c r="S9" s="4" t="str">
        <f t="shared" si="6"/>
        <v/>
      </c>
    </row>
    <row r="10" spans="1:19" x14ac:dyDescent="0.35">
      <c r="A10" s="54"/>
      <c r="B10" s="57"/>
      <c r="C10" s="60"/>
      <c r="D10" s="7" t="str">
        <f t="shared" si="0"/>
        <v/>
      </c>
      <c r="E10" s="63" t="str">
        <f>IF(OR(C10="",A10=""),"",IF(A10&lt;'Page de garde'!$G$7,IF(VALUE(RIGHT(C10,2))&lt;50,66,86),INDEX(EC!$C$2:$C$677,MATCH(C10,EC,0))))</f>
        <v/>
      </c>
      <c r="F10" s="33" t="str">
        <f t="shared" si="1"/>
        <v/>
      </c>
      <c r="G10" s="38"/>
      <c r="H10" s="38"/>
      <c r="I10" s="38"/>
      <c r="J10" s="36"/>
      <c r="K10" s="29"/>
      <c r="L10" s="29"/>
      <c r="M10" s="31"/>
      <c r="N10" s="40">
        <f t="shared" si="2"/>
        <v>0</v>
      </c>
      <c r="P10" s="4" t="str">
        <f t="shared" si="3"/>
        <v/>
      </c>
      <c r="Q10" s="4" t="str">
        <f t="shared" si="4"/>
        <v/>
      </c>
      <c r="R10" s="4" t="str">
        <f t="shared" si="5"/>
        <v>/</v>
      </c>
      <c r="S10" s="4" t="str">
        <f t="shared" si="6"/>
        <v/>
      </c>
    </row>
    <row r="11" spans="1:19" x14ac:dyDescent="0.35">
      <c r="A11" s="54"/>
      <c r="B11" s="57"/>
      <c r="C11" s="60"/>
      <c r="D11" s="7" t="str">
        <f t="shared" si="0"/>
        <v/>
      </c>
      <c r="E11" s="63" t="str">
        <f>IF(OR(C11="",A11=""),"",IF(A11&lt;'Page de garde'!$G$7,IF(VALUE(RIGHT(C11,2))&lt;50,66,86),INDEX(EC!$C$2:$C$677,MATCH(C11,EC,0))))</f>
        <v/>
      </c>
      <c r="F11" s="33" t="str">
        <f t="shared" si="1"/>
        <v/>
      </c>
      <c r="G11" s="38"/>
      <c r="H11" s="38"/>
      <c r="I11" s="38"/>
      <c r="J11" s="36"/>
      <c r="K11" s="29"/>
      <c r="L11" s="29"/>
      <c r="M11" s="31"/>
      <c r="N11" s="40">
        <f t="shared" si="2"/>
        <v>0</v>
      </c>
      <c r="P11" s="4" t="str">
        <f t="shared" si="3"/>
        <v/>
      </c>
      <c r="Q11" s="4" t="str">
        <f t="shared" si="4"/>
        <v/>
      </c>
      <c r="R11" s="4" t="str">
        <f t="shared" si="5"/>
        <v>/</v>
      </c>
      <c r="S11" s="4" t="str">
        <f t="shared" si="6"/>
        <v/>
      </c>
    </row>
    <row r="12" spans="1:19" x14ac:dyDescent="0.35">
      <c r="A12" s="54"/>
      <c r="B12" s="57"/>
      <c r="C12" s="60"/>
      <c r="D12" s="7" t="str">
        <f t="shared" si="0"/>
        <v/>
      </c>
      <c r="E12" s="63" t="str">
        <f>IF(OR(C12="",A12=""),"",IF(A12&lt;'Page de garde'!$G$7,IF(VALUE(RIGHT(C12,2))&lt;50,66,86),INDEX(EC!$C$2:$C$677,MATCH(C12,EC,0))))</f>
        <v/>
      </c>
      <c r="F12" s="33" t="str">
        <f t="shared" si="1"/>
        <v/>
      </c>
      <c r="G12" s="38"/>
      <c r="H12" s="38"/>
      <c r="I12" s="38"/>
      <c r="J12" s="36"/>
      <c r="K12" s="29"/>
      <c r="L12" s="29"/>
      <c r="M12" s="31"/>
      <c r="N12" s="40">
        <f t="shared" si="2"/>
        <v>0</v>
      </c>
      <c r="P12" s="4" t="str">
        <f t="shared" si="3"/>
        <v/>
      </c>
      <c r="Q12" s="4" t="str">
        <f t="shared" si="4"/>
        <v/>
      </c>
      <c r="R12" s="4" t="str">
        <f t="shared" si="5"/>
        <v>/</v>
      </c>
      <c r="S12" s="4" t="str">
        <f t="shared" si="6"/>
        <v/>
      </c>
    </row>
    <row r="13" spans="1:19" x14ac:dyDescent="0.35">
      <c r="A13" s="54"/>
      <c r="B13" s="57"/>
      <c r="C13" s="60"/>
      <c r="D13" s="7" t="str">
        <f t="shared" si="0"/>
        <v/>
      </c>
      <c r="E13" s="63" t="str">
        <f>IF(OR(C13="",A13=""),"",IF(A13&lt;'Page de garde'!$G$7,IF(VALUE(RIGHT(C13,2))&lt;50,66,86),INDEX(EC!$C$2:$C$677,MATCH(C13,EC,0))))</f>
        <v/>
      </c>
      <c r="F13" s="33" t="str">
        <f t="shared" si="1"/>
        <v/>
      </c>
      <c r="G13" s="38"/>
      <c r="H13" s="38"/>
      <c r="I13" s="38"/>
      <c r="J13" s="36"/>
      <c r="K13" s="29"/>
      <c r="L13" s="29"/>
      <c r="M13" s="31"/>
      <c r="N13" s="40">
        <f t="shared" si="2"/>
        <v>0</v>
      </c>
      <c r="P13" s="4" t="str">
        <f t="shared" si="3"/>
        <v/>
      </c>
      <c r="Q13" s="4" t="str">
        <f t="shared" si="4"/>
        <v/>
      </c>
      <c r="R13" s="4" t="str">
        <f t="shared" si="5"/>
        <v>/</v>
      </c>
      <c r="S13" s="4" t="str">
        <f t="shared" si="6"/>
        <v/>
      </c>
    </row>
    <row r="14" spans="1:19" x14ac:dyDescent="0.35">
      <c r="A14" s="54"/>
      <c r="B14" s="57"/>
      <c r="C14" s="60"/>
      <c r="D14" s="7" t="str">
        <f t="shared" si="0"/>
        <v/>
      </c>
      <c r="E14" s="63" t="str">
        <f>IF(OR(C14="",A14=""),"",IF(A14&lt;'Page de garde'!$G$7,IF(VALUE(RIGHT(C14,2))&lt;50,66,86),INDEX(EC!$C$2:$C$677,MATCH(C14,EC,0))))</f>
        <v/>
      </c>
      <c r="F14" s="33" t="str">
        <f t="shared" si="1"/>
        <v/>
      </c>
      <c r="G14" s="38"/>
      <c r="H14" s="38"/>
      <c r="I14" s="38"/>
      <c r="J14" s="36"/>
      <c r="K14" s="29"/>
      <c r="L14" s="29"/>
      <c r="M14" s="31"/>
      <c r="N14" s="40">
        <f t="shared" si="2"/>
        <v>0</v>
      </c>
      <c r="P14" s="4" t="str">
        <f t="shared" si="3"/>
        <v/>
      </c>
      <c r="Q14" s="4" t="str">
        <f t="shared" si="4"/>
        <v/>
      </c>
      <c r="R14" s="4" t="str">
        <f t="shared" si="5"/>
        <v>/</v>
      </c>
      <c r="S14" s="4" t="str">
        <f t="shared" si="6"/>
        <v/>
      </c>
    </row>
    <row r="15" spans="1:19" x14ac:dyDescent="0.35">
      <c r="A15" s="54"/>
      <c r="B15" s="57"/>
      <c r="C15" s="60"/>
      <c r="D15" s="7" t="str">
        <f t="shared" si="0"/>
        <v/>
      </c>
      <c r="E15" s="63" t="str">
        <f>IF(OR(C15="",A15=""),"",IF(A15&lt;'Page de garde'!$G$7,IF(VALUE(RIGHT(C15,2))&lt;50,66,86),INDEX(EC!$C$2:$C$677,MATCH(C15,EC,0))))</f>
        <v/>
      </c>
      <c r="F15" s="33" t="str">
        <f t="shared" si="1"/>
        <v/>
      </c>
      <c r="G15" s="38"/>
      <c r="H15" s="38"/>
      <c r="I15" s="38"/>
      <c r="J15" s="36"/>
      <c r="K15" s="29"/>
      <c r="L15" s="29"/>
      <c r="M15" s="31"/>
      <c r="N15" s="40">
        <f t="shared" si="2"/>
        <v>0</v>
      </c>
      <c r="P15" s="4" t="str">
        <f t="shared" si="3"/>
        <v/>
      </c>
      <c r="Q15" s="4" t="str">
        <f t="shared" si="4"/>
        <v/>
      </c>
      <c r="R15" s="4" t="str">
        <f t="shared" si="5"/>
        <v>/</v>
      </c>
      <c r="S15" s="4" t="str">
        <f t="shared" si="6"/>
        <v/>
      </c>
    </row>
    <row r="16" spans="1:19" x14ac:dyDescent="0.35">
      <c r="A16" s="54"/>
      <c r="B16" s="57"/>
      <c r="C16" s="60"/>
      <c r="D16" s="7" t="str">
        <f t="shared" si="0"/>
        <v/>
      </c>
      <c r="E16" s="63" t="str">
        <f>IF(OR(C16="",A16=""),"",IF(A16&lt;'Page de garde'!$G$7,IF(VALUE(RIGHT(C16,2))&lt;50,66,86),INDEX(EC!$C$2:$C$677,MATCH(C16,EC,0))))</f>
        <v/>
      </c>
      <c r="F16" s="33" t="str">
        <f t="shared" si="1"/>
        <v/>
      </c>
      <c r="G16" s="38"/>
      <c r="H16" s="38"/>
      <c r="I16" s="38"/>
      <c r="J16" s="36"/>
      <c r="K16" s="29"/>
      <c r="L16" s="29"/>
      <c r="M16" s="31"/>
      <c r="N16" s="40">
        <f t="shared" si="2"/>
        <v>0</v>
      </c>
      <c r="P16" s="4" t="str">
        <f t="shared" si="3"/>
        <v/>
      </c>
      <c r="Q16" s="4" t="str">
        <f t="shared" si="4"/>
        <v/>
      </c>
      <c r="R16" s="4" t="str">
        <f t="shared" si="5"/>
        <v>/</v>
      </c>
      <c r="S16" s="4" t="str">
        <f t="shared" si="6"/>
        <v/>
      </c>
    </row>
    <row r="17" spans="1:19" x14ac:dyDescent="0.35">
      <c r="A17" s="54"/>
      <c r="B17" s="57"/>
      <c r="C17" s="60"/>
      <c r="D17" s="7" t="str">
        <f t="shared" si="0"/>
        <v/>
      </c>
      <c r="E17" s="63" t="str">
        <f>IF(OR(C17="",A17=""),"",IF(A17&lt;'Page de garde'!$G$7,IF(VALUE(RIGHT(C17,2))&lt;50,66,86),INDEX(EC!$C$2:$C$677,MATCH(C17,EC,0))))</f>
        <v/>
      </c>
      <c r="F17" s="33" t="str">
        <f t="shared" si="1"/>
        <v/>
      </c>
      <c r="G17" s="38"/>
      <c r="H17" s="38"/>
      <c r="I17" s="38"/>
      <c r="J17" s="36"/>
      <c r="K17" s="29"/>
      <c r="L17" s="29"/>
      <c r="M17" s="31"/>
      <c r="N17" s="40">
        <f t="shared" si="2"/>
        <v>0</v>
      </c>
      <c r="P17" s="4" t="str">
        <f t="shared" si="3"/>
        <v/>
      </c>
      <c r="Q17" s="4" t="str">
        <f t="shared" si="4"/>
        <v/>
      </c>
      <c r="R17" s="4" t="str">
        <f t="shared" si="5"/>
        <v>/</v>
      </c>
      <c r="S17" s="4" t="str">
        <f t="shared" si="6"/>
        <v/>
      </c>
    </row>
    <row r="18" spans="1:19" x14ac:dyDescent="0.35">
      <c r="A18" s="54"/>
      <c r="B18" s="57"/>
      <c r="C18" s="60"/>
      <c r="D18" s="7" t="str">
        <f t="shared" si="0"/>
        <v/>
      </c>
      <c r="E18" s="63" t="str">
        <f>IF(OR(C18="",A18=""),"",IF(A18&lt;'Page de garde'!$G$7,IF(VALUE(RIGHT(C18,2))&lt;50,66,86),INDEX(EC!$C$2:$C$677,MATCH(C18,EC,0))))</f>
        <v/>
      </c>
      <c r="F18" s="33" t="str">
        <f t="shared" si="1"/>
        <v/>
      </c>
      <c r="G18" s="38"/>
      <c r="H18" s="38"/>
      <c r="I18" s="38"/>
      <c r="J18" s="36"/>
      <c r="K18" s="29"/>
      <c r="L18" s="29"/>
      <c r="M18" s="31"/>
      <c r="N18" s="40">
        <f t="shared" si="2"/>
        <v>0</v>
      </c>
      <c r="P18" s="4" t="str">
        <f t="shared" si="3"/>
        <v/>
      </c>
      <c r="Q18" s="4" t="str">
        <f t="shared" si="4"/>
        <v/>
      </c>
      <c r="R18" s="4" t="str">
        <f t="shared" si="5"/>
        <v>/</v>
      </c>
      <c r="S18" s="4" t="str">
        <f t="shared" si="6"/>
        <v/>
      </c>
    </row>
    <row r="19" spans="1:19" x14ac:dyDescent="0.35">
      <c r="A19" s="54"/>
      <c r="B19" s="57"/>
      <c r="C19" s="60"/>
      <c r="D19" s="7" t="str">
        <f t="shared" si="0"/>
        <v/>
      </c>
      <c r="E19" s="63" t="str">
        <f>IF(OR(C19="",A19=""),"",IF(A19&lt;'Page de garde'!$G$7,IF(VALUE(RIGHT(C19,2))&lt;50,66,86),INDEX(EC!$C$2:$C$677,MATCH(C19,EC,0))))</f>
        <v/>
      </c>
      <c r="F19" s="33" t="str">
        <f t="shared" si="1"/>
        <v/>
      </c>
      <c r="G19" s="38"/>
      <c r="H19" s="38"/>
      <c r="I19" s="38"/>
      <c r="J19" s="36"/>
      <c r="K19" s="29"/>
      <c r="L19" s="29"/>
      <c r="M19" s="31"/>
      <c r="N19" s="40">
        <f t="shared" si="2"/>
        <v>0</v>
      </c>
      <c r="P19" s="4" t="str">
        <f t="shared" si="3"/>
        <v/>
      </c>
      <c r="Q19" s="4" t="str">
        <f t="shared" si="4"/>
        <v/>
      </c>
      <c r="R19" s="4" t="str">
        <f t="shared" si="5"/>
        <v>/</v>
      </c>
      <c r="S19" s="4" t="str">
        <f t="shared" si="6"/>
        <v/>
      </c>
    </row>
    <row r="20" spans="1:19" x14ac:dyDescent="0.35">
      <c r="A20" s="54"/>
      <c r="B20" s="57"/>
      <c r="C20" s="60"/>
      <c r="D20" s="7" t="str">
        <f t="shared" si="0"/>
        <v/>
      </c>
      <c r="E20" s="63" t="str">
        <f>IF(OR(C20="",A20=""),"",IF(A20&lt;'Page de garde'!$G$7,IF(VALUE(RIGHT(C20,2))&lt;50,66,86),INDEX(EC!$C$2:$C$677,MATCH(C20,EC,0))))</f>
        <v/>
      </c>
      <c r="F20" s="33" t="str">
        <f t="shared" si="1"/>
        <v/>
      </c>
      <c r="G20" s="38"/>
      <c r="H20" s="38"/>
      <c r="I20" s="38"/>
      <c r="J20" s="36"/>
      <c r="K20" s="29"/>
      <c r="L20" s="29"/>
      <c r="M20" s="31"/>
      <c r="N20" s="40">
        <f t="shared" si="2"/>
        <v>0</v>
      </c>
      <c r="P20" s="4" t="str">
        <f t="shared" si="3"/>
        <v/>
      </c>
      <c r="Q20" s="4" t="str">
        <f t="shared" si="4"/>
        <v/>
      </c>
      <c r="R20" s="4" t="str">
        <f t="shared" si="5"/>
        <v>/</v>
      </c>
      <c r="S20" s="4" t="str">
        <f t="shared" si="6"/>
        <v/>
      </c>
    </row>
    <row r="21" spans="1:19" x14ac:dyDescent="0.35">
      <c r="A21" s="54"/>
      <c r="B21" s="57"/>
      <c r="C21" s="60"/>
      <c r="D21" s="7" t="str">
        <f t="shared" si="0"/>
        <v/>
      </c>
      <c r="E21" s="63" t="str">
        <f>IF(OR(C21="",A21=""),"",IF(A21&lt;'Page de garde'!$G$7,IF(VALUE(RIGHT(C21,2))&lt;50,66,86),INDEX(EC!$C$2:$C$677,MATCH(C21,EC,0))))</f>
        <v/>
      </c>
      <c r="F21" s="33" t="str">
        <f t="shared" si="1"/>
        <v/>
      </c>
      <c r="G21" s="38"/>
      <c r="H21" s="38"/>
      <c r="I21" s="38"/>
      <c r="J21" s="36"/>
      <c r="K21" s="29"/>
      <c r="L21" s="29"/>
      <c r="M21" s="31"/>
      <c r="N21" s="40">
        <f t="shared" si="2"/>
        <v>0</v>
      </c>
      <c r="P21" s="4" t="str">
        <f t="shared" si="3"/>
        <v/>
      </c>
      <c r="Q21" s="4" t="str">
        <f t="shared" si="4"/>
        <v/>
      </c>
      <c r="R21" s="4" t="str">
        <f t="shared" si="5"/>
        <v>/</v>
      </c>
      <c r="S21" s="4" t="str">
        <f t="shared" si="6"/>
        <v/>
      </c>
    </row>
    <row r="22" spans="1:19" x14ac:dyDescent="0.35">
      <c r="A22" s="54"/>
      <c r="B22" s="57"/>
      <c r="C22" s="60"/>
      <c r="D22" s="7" t="str">
        <f t="shared" si="0"/>
        <v/>
      </c>
      <c r="E22" s="63" t="str">
        <f>IF(OR(C22="",A22=""),"",IF(A22&lt;'Page de garde'!$G$7,IF(VALUE(RIGHT(C22,2))&lt;50,66,86),INDEX(EC!$C$2:$C$677,MATCH(C22,EC,0))))</f>
        <v/>
      </c>
      <c r="F22" s="33" t="str">
        <f t="shared" si="1"/>
        <v/>
      </c>
      <c r="G22" s="38"/>
      <c r="H22" s="38"/>
      <c r="I22" s="38"/>
      <c r="J22" s="36"/>
      <c r="K22" s="29"/>
      <c r="L22" s="29"/>
      <c r="M22" s="31"/>
      <c r="N22" s="40">
        <f t="shared" si="2"/>
        <v>0</v>
      </c>
      <c r="P22" s="4" t="str">
        <f t="shared" si="3"/>
        <v/>
      </c>
      <c r="Q22" s="4" t="str">
        <f t="shared" si="4"/>
        <v/>
      </c>
      <c r="R22" s="4" t="str">
        <f t="shared" si="5"/>
        <v>/</v>
      </c>
      <c r="S22" s="4" t="str">
        <f t="shared" si="6"/>
        <v/>
      </c>
    </row>
    <row r="23" spans="1:19" x14ac:dyDescent="0.35">
      <c r="A23" s="54"/>
      <c r="B23" s="57"/>
      <c r="C23" s="60"/>
      <c r="D23" s="7" t="str">
        <f t="shared" si="0"/>
        <v/>
      </c>
      <c r="E23" s="63" t="str">
        <f>IF(OR(C23="",A23=""),"",IF(A23&lt;'Page de garde'!$G$7,IF(VALUE(RIGHT(C23,2))&lt;50,66,86),INDEX(EC!$C$2:$C$677,MATCH(C23,EC,0))))</f>
        <v/>
      </c>
      <c r="F23" s="33" t="str">
        <f t="shared" si="1"/>
        <v/>
      </c>
      <c r="G23" s="38"/>
      <c r="H23" s="38"/>
      <c r="I23" s="38"/>
      <c r="J23" s="36"/>
      <c r="K23" s="29"/>
      <c r="L23" s="29"/>
      <c r="M23" s="31"/>
      <c r="N23" s="40">
        <f t="shared" si="2"/>
        <v>0</v>
      </c>
      <c r="P23" s="4" t="str">
        <f t="shared" si="3"/>
        <v/>
      </c>
      <c r="Q23" s="4" t="str">
        <f t="shared" si="4"/>
        <v/>
      </c>
      <c r="R23" s="4" t="str">
        <f t="shared" si="5"/>
        <v>/</v>
      </c>
      <c r="S23" s="4" t="str">
        <f t="shared" si="6"/>
        <v/>
      </c>
    </row>
    <row r="24" spans="1:19" x14ac:dyDescent="0.35">
      <c r="A24" s="54"/>
      <c r="B24" s="57"/>
      <c r="C24" s="60"/>
      <c r="D24" s="7" t="str">
        <f t="shared" si="0"/>
        <v/>
      </c>
      <c r="E24" s="63" t="str">
        <f>IF(OR(C24="",A24=""),"",IF(A24&lt;'Page de garde'!$G$7,IF(VALUE(RIGHT(C24,2))&lt;50,66,86),INDEX(EC!$C$2:$C$677,MATCH(C24,EC,0))))</f>
        <v/>
      </c>
      <c r="F24" s="33" t="str">
        <f t="shared" si="1"/>
        <v/>
      </c>
      <c r="G24" s="38"/>
      <c r="H24" s="38"/>
      <c r="I24" s="38"/>
      <c r="J24" s="36"/>
      <c r="K24" s="29"/>
      <c r="L24" s="29"/>
      <c r="M24" s="31"/>
      <c r="N24" s="40">
        <f t="shared" si="2"/>
        <v>0</v>
      </c>
      <c r="P24" s="4" t="str">
        <f t="shared" si="3"/>
        <v/>
      </c>
      <c r="Q24" s="4" t="str">
        <f t="shared" si="4"/>
        <v/>
      </c>
      <c r="R24" s="4" t="str">
        <f t="shared" si="5"/>
        <v>/</v>
      </c>
      <c r="S24" s="4" t="str">
        <f t="shared" si="6"/>
        <v/>
      </c>
    </row>
    <row r="25" spans="1:19" x14ac:dyDescent="0.35">
      <c r="A25" s="54"/>
      <c r="B25" s="57"/>
      <c r="C25" s="60"/>
      <c r="D25" s="7" t="str">
        <f t="shared" si="0"/>
        <v/>
      </c>
      <c r="E25" s="63" t="str">
        <f>IF(OR(C25="",A25=""),"",IF(A25&lt;'Page de garde'!$G$7,IF(VALUE(RIGHT(C25,2))&lt;50,66,86),INDEX(EC!$C$2:$C$677,MATCH(C25,EC,0))))</f>
        <v/>
      </c>
      <c r="F25" s="33" t="str">
        <f t="shared" si="1"/>
        <v/>
      </c>
      <c r="G25" s="38"/>
      <c r="H25" s="38"/>
      <c r="I25" s="38"/>
      <c r="J25" s="36"/>
      <c r="K25" s="29"/>
      <c r="L25" s="29"/>
      <c r="M25" s="31"/>
      <c r="N25" s="40">
        <f t="shared" si="2"/>
        <v>0</v>
      </c>
      <c r="P25" s="4" t="str">
        <f t="shared" si="3"/>
        <v/>
      </c>
      <c r="Q25" s="4" t="str">
        <f t="shared" si="4"/>
        <v/>
      </c>
      <c r="R25" s="4" t="str">
        <f t="shared" si="5"/>
        <v>/</v>
      </c>
      <c r="S25" s="4" t="str">
        <f t="shared" si="6"/>
        <v/>
      </c>
    </row>
    <row r="26" spans="1:19" x14ac:dyDescent="0.35">
      <c r="A26" s="54"/>
      <c r="B26" s="57"/>
      <c r="C26" s="60"/>
      <c r="D26" s="7" t="str">
        <f t="shared" si="0"/>
        <v/>
      </c>
      <c r="E26" s="63" t="str">
        <f>IF(OR(C26="",A26=""),"",IF(A26&lt;'Page de garde'!$G$7,IF(VALUE(RIGHT(C26,2))&lt;50,66,86),INDEX(EC!$C$2:$C$677,MATCH(C26,EC,0))))</f>
        <v/>
      </c>
      <c r="F26" s="33" t="str">
        <f t="shared" si="1"/>
        <v/>
      </c>
      <c r="G26" s="38"/>
      <c r="H26" s="38"/>
      <c r="I26" s="38"/>
      <c r="J26" s="36"/>
      <c r="K26" s="29"/>
      <c r="L26" s="29"/>
      <c r="M26" s="31"/>
      <c r="N26" s="40">
        <f t="shared" si="2"/>
        <v>0</v>
      </c>
      <c r="P26" s="4" t="str">
        <f t="shared" si="3"/>
        <v/>
      </c>
      <c r="Q26" s="4" t="str">
        <f t="shared" si="4"/>
        <v/>
      </c>
      <c r="R26" s="4" t="str">
        <f t="shared" si="5"/>
        <v>/</v>
      </c>
      <c r="S26" s="4" t="str">
        <f t="shared" si="6"/>
        <v/>
      </c>
    </row>
    <row r="27" spans="1:19" x14ac:dyDescent="0.35">
      <c r="A27" s="54"/>
      <c r="B27" s="57"/>
      <c r="C27" s="60"/>
      <c r="D27" s="7" t="str">
        <f t="shared" si="0"/>
        <v/>
      </c>
      <c r="E27" s="63" t="str">
        <f>IF(OR(C27="",A27=""),"",IF(A27&lt;'Page de garde'!$G$7,IF(VALUE(RIGHT(C27,2))&lt;50,66,86),INDEX(EC!$C$2:$C$677,MATCH(C27,EC,0))))</f>
        <v/>
      </c>
      <c r="F27" s="33" t="str">
        <f t="shared" si="1"/>
        <v/>
      </c>
      <c r="G27" s="38"/>
      <c r="H27" s="38"/>
      <c r="I27" s="38"/>
      <c r="J27" s="36"/>
      <c r="K27" s="29"/>
      <c r="L27" s="29"/>
      <c r="M27" s="31"/>
      <c r="N27" s="40">
        <f t="shared" si="2"/>
        <v>0</v>
      </c>
      <c r="P27" s="4" t="str">
        <f t="shared" si="3"/>
        <v/>
      </c>
      <c r="Q27" s="4" t="str">
        <f t="shared" si="4"/>
        <v/>
      </c>
      <c r="R27" s="4" t="str">
        <f t="shared" si="5"/>
        <v>/</v>
      </c>
      <c r="S27" s="4" t="str">
        <f t="shared" si="6"/>
        <v/>
      </c>
    </row>
    <row r="28" spans="1:19" x14ac:dyDescent="0.35">
      <c r="A28" s="54"/>
      <c r="B28" s="57"/>
      <c r="C28" s="60"/>
      <c r="D28" s="7" t="str">
        <f t="shared" si="0"/>
        <v/>
      </c>
      <c r="E28" s="63" t="str">
        <f>IF(OR(C28="",A28=""),"",IF(A28&lt;'Page de garde'!$G$7,IF(VALUE(RIGHT(C28,2))&lt;50,66,86),INDEX(EC!$C$2:$C$677,MATCH(C28,EC,0))))</f>
        <v/>
      </c>
      <c r="F28" s="33" t="str">
        <f t="shared" si="1"/>
        <v/>
      </c>
      <c r="G28" s="38"/>
      <c r="H28" s="38"/>
      <c r="I28" s="38"/>
      <c r="J28" s="36"/>
      <c r="K28" s="29"/>
      <c r="L28" s="29"/>
      <c r="M28" s="31"/>
      <c r="N28" s="40">
        <f t="shared" si="2"/>
        <v>0</v>
      </c>
      <c r="P28" s="4" t="str">
        <f t="shared" si="3"/>
        <v/>
      </c>
      <c r="Q28" s="4" t="str">
        <f t="shared" si="4"/>
        <v/>
      </c>
      <c r="R28" s="4" t="str">
        <f t="shared" si="5"/>
        <v>/</v>
      </c>
      <c r="S28" s="4" t="str">
        <f t="shared" si="6"/>
        <v/>
      </c>
    </row>
    <row r="29" spans="1:19" x14ac:dyDescent="0.35">
      <c r="A29" s="54"/>
      <c r="B29" s="57"/>
      <c r="C29" s="60"/>
      <c r="D29" s="7" t="str">
        <f t="shared" si="0"/>
        <v/>
      </c>
      <c r="E29" s="63" t="str">
        <f>IF(OR(C29="",A29=""),"",IF(A29&lt;'Page de garde'!$G$7,IF(VALUE(RIGHT(C29,2))&lt;50,66,86),INDEX(EC!$C$2:$C$677,MATCH(C29,EC,0))))</f>
        <v/>
      </c>
      <c r="F29" s="33" t="str">
        <f t="shared" si="1"/>
        <v/>
      </c>
      <c r="G29" s="38"/>
      <c r="H29" s="38"/>
      <c r="I29" s="38"/>
      <c r="J29" s="36"/>
      <c r="K29" s="29"/>
      <c r="L29" s="29"/>
      <c r="M29" s="31"/>
      <c r="N29" s="40">
        <f t="shared" si="2"/>
        <v>0</v>
      </c>
      <c r="P29" s="4" t="str">
        <f t="shared" si="3"/>
        <v/>
      </c>
      <c r="Q29" s="4" t="str">
        <f t="shared" si="4"/>
        <v/>
      </c>
      <c r="R29" s="4" t="str">
        <f t="shared" si="5"/>
        <v>/</v>
      </c>
      <c r="S29" s="4" t="str">
        <f t="shared" si="6"/>
        <v/>
      </c>
    </row>
    <row r="30" spans="1:19" x14ac:dyDescent="0.35">
      <c r="A30" s="54"/>
      <c r="B30" s="57"/>
      <c r="C30" s="60"/>
      <c r="D30" s="7" t="str">
        <f t="shared" si="0"/>
        <v/>
      </c>
      <c r="E30" s="63" t="str">
        <f>IF(OR(C30="",A30=""),"",IF(A30&lt;'Page de garde'!$G$7,IF(VALUE(RIGHT(C30,2))&lt;50,66,86),INDEX(EC!$C$2:$C$677,MATCH(C30,EC,0))))</f>
        <v/>
      </c>
      <c r="F30" s="33" t="str">
        <f t="shared" si="1"/>
        <v/>
      </c>
      <c r="G30" s="38"/>
      <c r="H30" s="38"/>
      <c r="I30" s="38"/>
      <c r="J30" s="36"/>
      <c r="K30" s="29"/>
      <c r="L30" s="29"/>
      <c r="M30" s="31"/>
      <c r="N30" s="40">
        <f t="shared" si="2"/>
        <v>0</v>
      </c>
      <c r="P30" s="4" t="str">
        <f t="shared" si="3"/>
        <v/>
      </c>
      <c r="Q30" s="4" t="str">
        <f t="shared" si="4"/>
        <v/>
      </c>
      <c r="R30" s="4" t="str">
        <f t="shared" si="5"/>
        <v>/</v>
      </c>
      <c r="S30" s="4" t="str">
        <f t="shared" si="6"/>
        <v/>
      </c>
    </row>
    <row r="31" spans="1:19" x14ac:dyDescent="0.35">
      <c r="A31" s="54"/>
      <c r="B31" s="57"/>
      <c r="C31" s="60"/>
      <c r="D31" s="7" t="str">
        <f t="shared" si="0"/>
        <v/>
      </c>
      <c r="E31" s="63" t="str">
        <f>IF(OR(C31="",A31=""),"",IF(A31&lt;'Page de garde'!$G$7,IF(VALUE(RIGHT(C31,2))&lt;50,66,86),INDEX(EC!$C$2:$C$677,MATCH(C31,EC,0))))</f>
        <v/>
      </c>
      <c r="F31" s="33" t="str">
        <f t="shared" si="1"/>
        <v/>
      </c>
      <c r="G31" s="38"/>
      <c r="H31" s="38"/>
      <c r="I31" s="38"/>
      <c r="J31" s="36"/>
      <c r="K31" s="29"/>
      <c r="L31" s="29"/>
      <c r="M31" s="31"/>
      <c r="N31" s="40">
        <f t="shared" si="2"/>
        <v>0</v>
      </c>
      <c r="P31" s="4" t="str">
        <f t="shared" si="3"/>
        <v/>
      </c>
      <c r="Q31" s="4" t="str">
        <f t="shared" si="4"/>
        <v/>
      </c>
      <c r="R31" s="4" t="str">
        <f t="shared" si="5"/>
        <v>/</v>
      </c>
      <c r="S31" s="4" t="str">
        <f t="shared" si="6"/>
        <v/>
      </c>
    </row>
    <row r="32" spans="1:19" x14ac:dyDescent="0.35">
      <c r="A32" s="54"/>
      <c r="B32" s="57"/>
      <c r="C32" s="60"/>
      <c r="D32" s="7" t="str">
        <f t="shared" si="0"/>
        <v/>
      </c>
      <c r="E32" s="63" t="str">
        <f>IF(OR(C32="",A32=""),"",IF(A32&lt;'Page de garde'!$G$7,IF(VALUE(RIGHT(C32,2))&lt;50,66,86),INDEX(EC!$C$2:$C$677,MATCH(C32,EC,0))))</f>
        <v/>
      </c>
      <c r="F32" s="33" t="str">
        <f t="shared" si="1"/>
        <v/>
      </c>
      <c r="G32" s="38"/>
      <c r="H32" s="38"/>
      <c r="I32" s="38"/>
      <c r="J32" s="36"/>
      <c r="K32" s="29"/>
      <c r="L32" s="29"/>
      <c r="M32" s="31"/>
      <c r="N32" s="40">
        <f t="shared" si="2"/>
        <v>0</v>
      </c>
      <c r="P32" s="4" t="str">
        <f t="shared" si="3"/>
        <v/>
      </c>
      <c r="Q32" s="4" t="str">
        <f t="shared" si="4"/>
        <v/>
      </c>
      <c r="R32" s="4" t="str">
        <f t="shared" si="5"/>
        <v>/</v>
      </c>
      <c r="S32" s="4" t="str">
        <f t="shared" si="6"/>
        <v/>
      </c>
    </row>
    <row r="33" spans="1:19" x14ac:dyDescent="0.35">
      <c r="A33" s="54"/>
      <c r="B33" s="57"/>
      <c r="C33" s="60"/>
      <c r="D33" s="7" t="str">
        <f t="shared" si="0"/>
        <v/>
      </c>
      <c r="E33" s="63" t="str">
        <f>IF(OR(C33="",A33=""),"",IF(A33&lt;'Page de garde'!$G$7,IF(VALUE(RIGHT(C33,2))&lt;50,66,86),INDEX(EC!$C$2:$C$677,MATCH(C33,EC,0))))</f>
        <v/>
      </c>
      <c r="F33" s="33" t="str">
        <f t="shared" si="1"/>
        <v/>
      </c>
      <c r="G33" s="38"/>
      <c r="H33" s="38"/>
      <c r="I33" s="38"/>
      <c r="J33" s="36"/>
      <c r="K33" s="29"/>
      <c r="L33" s="29"/>
      <c r="M33" s="31"/>
      <c r="N33" s="40">
        <f t="shared" si="2"/>
        <v>0</v>
      </c>
      <c r="P33" s="4" t="str">
        <f t="shared" si="3"/>
        <v/>
      </c>
      <c r="Q33" s="4" t="str">
        <f t="shared" si="4"/>
        <v/>
      </c>
      <c r="R33" s="4" t="str">
        <f t="shared" si="5"/>
        <v>/</v>
      </c>
      <c r="S33" s="4" t="str">
        <f t="shared" si="6"/>
        <v/>
      </c>
    </row>
    <row r="34" spans="1:19" x14ac:dyDescent="0.35">
      <c r="A34" s="54"/>
      <c r="B34" s="57"/>
      <c r="C34" s="60"/>
      <c r="D34" s="7" t="str">
        <f t="shared" si="0"/>
        <v/>
      </c>
      <c r="E34" s="63" t="str">
        <f>IF(OR(C34="",A34=""),"",IF(A34&lt;'Page de garde'!$G$7,IF(VALUE(RIGHT(C34,2))&lt;50,66,86),INDEX(EC!$C$2:$C$677,MATCH(C34,EC,0))))</f>
        <v/>
      </c>
      <c r="F34" s="33" t="str">
        <f t="shared" si="1"/>
        <v/>
      </c>
      <c r="G34" s="38"/>
      <c r="H34" s="38"/>
      <c r="I34" s="38"/>
      <c r="J34" s="36"/>
      <c r="K34" s="29"/>
      <c r="L34" s="29"/>
      <c r="M34" s="31"/>
      <c r="N34" s="40">
        <f t="shared" si="2"/>
        <v>0</v>
      </c>
      <c r="P34" s="4" t="str">
        <f t="shared" si="3"/>
        <v/>
      </c>
      <c r="Q34" s="4" t="str">
        <f t="shared" si="4"/>
        <v/>
      </c>
      <c r="R34" s="4" t="str">
        <f t="shared" si="5"/>
        <v>/</v>
      </c>
      <c r="S34" s="4" t="str">
        <f t="shared" si="6"/>
        <v/>
      </c>
    </row>
    <row r="35" spans="1:19" x14ac:dyDescent="0.35">
      <c r="A35" s="54"/>
      <c r="B35" s="57"/>
      <c r="C35" s="60"/>
      <c r="D35" s="7" t="str">
        <f t="shared" si="0"/>
        <v/>
      </c>
      <c r="E35" s="63" t="str">
        <f>IF(OR(C35="",A35=""),"",IF(A35&lt;'Page de garde'!$G$7,IF(VALUE(RIGHT(C35,2))&lt;50,66,86),INDEX(EC!$C$2:$C$677,MATCH(C35,EC,0))))</f>
        <v/>
      </c>
      <c r="F35" s="33" t="str">
        <f t="shared" si="1"/>
        <v/>
      </c>
      <c r="G35" s="38"/>
      <c r="H35" s="38"/>
      <c r="I35" s="38"/>
      <c r="J35" s="36"/>
      <c r="K35" s="29"/>
      <c r="L35" s="29"/>
      <c r="M35" s="31"/>
      <c r="N35" s="40">
        <f t="shared" si="2"/>
        <v>0</v>
      </c>
      <c r="P35" s="4" t="str">
        <f t="shared" si="3"/>
        <v/>
      </c>
      <c r="Q35" s="4" t="str">
        <f t="shared" si="4"/>
        <v/>
      </c>
      <c r="R35" s="4" t="str">
        <f t="shared" si="5"/>
        <v>/</v>
      </c>
      <c r="S35" s="4" t="str">
        <f t="shared" si="6"/>
        <v/>
      </c>
    </row>
    <row r="36" spans="1:19" x14ac:dyDescent="0.35">
      <c r="A36" s="54"/>
      <c r="B36" s="57"/>
      <c r="C36" s="60"/>
      <c r="D36" s="7" t="str">
        <f t="shared" si="0"/>
        <v/>
      </c>
      <c r="E36" s="63" t="str">
        <f>IF(OR(C36="",A36=""),"",IF(A36&lt;'Page de garde'!$G$7,IF(VALUE(RIGHT(C36,2))&lt;50,66,86),INDEX(EC!$C$2:$C$677,MATCH(C36,EC,0))))</f>
        <v/>
      </c>
      <c r="F36" s="33" t="str">
        <f t="shared" si="1"/>
        <v/>
      </c>
      <c r="G36" s="38"/>
      <c r="H36" s="38"/>
      <c r="I36" s="38"/>
      <c r="J36" s="36"/>
      <c r="K36" s="29"/>
      <c r="L36" s="29"/>
      <c r="M36" s="31"/>
      <c r="N36" s="40">
        <f t="shared" si="2"/>
        <v>0</v>
      </c>
      <c r="O36" s="245"/>
      <c r="P36" s="4" t="str">
        <f t="shared" si="3"/>
        <v/>
      </c>
      <c r="Q36" s="4" t="str">
        <f t="shared" si="4"/>
        <v/>
      </c>
      <c r="R36" s="4" t="str">
        <f t="shared" si="5"/>
        <v>/</v>
      </c>
      <c r="S36" s="4" t="str">
        <f t="shared" si="6"/>
        <v/>
      </c>
    </row>
    <row r="37" spans="1:19" x14ac:dyDescent="0.35">
      <c r="A37" s="54"/>
      <c r="B37" s="57"/>
      <c r="C37" s="60"/>
      <c r="D37" s="7" t="str">
        <f t="shared" si="0"/>
        <v/>
      </c>
      <c r="E37" s="63" t="str">
        <f>IF(OR(C37="",A37=""),"",IF(A37&lt;'Page de garde'!$G$7,IF(VALUE(RIGHT(C37,2))&lt;50,66,86),INDEX(EC!$C$2:$C$677,MATCH(C37,EC,0))))</f>
        <v/>
      </c>
      <c r="F37" s="33" t="str">
        <f t="shared" si="1"/>
        <v/>
      </c>
      <c r="G37" s="38"/>
      <c r="H37" s="38"/>
      <c r="I37" s="38"/>
      <c r="J37" s="36"/>
      <c r="K37" s="29"/>
      <c r="L37" s="29"/>
      <c r="M37" s="31"/>
      <c r="N37" s="40">
        <f t="shared" si="2"/>
        <v>0</v>
      </c>
      <c r="P37" s="4" t="str">
        <f t="shared" si="3"/>
        <v/>
      </c>
      <c r="Q37" s="4" t="str">
        <f t="shared" si="4"/>
        <v/>
      </c>
      <c r="R37" s="4" t="str">
        <f t="shared" si="5"/>
        <v>/</v>
      </c>
      <c r="S37" s="4" t="str">
        <f t="shared" si="6"/>
        <v/>
      </c>
    </row>
    <row r="38" spans="1:19" x14ac:dyDescent="0.35">
      <c r="A38" s="54"/>
      <c r="B38" s="57"/>
      <c r="C38" s="60"/>
      <c r="D38" s="7" t="str">
        <f t="shared" si="0"/>
        <v/>
      </c>
      <c r="E38" s="63" t="str">
        <f>IF(OR(C38="",A38=""),"",IF(A38&lt;'Page de garde'!$G$7,IF(VALUE(RIGHT(C38,2))&lt;50,66,86),INDEX(EC!$C$2:$C$677,MATCH(C38,EC,0))))</f>
        <v/>
      </c>
      <c r="F38" s="33" t="str">
        <f t="shared" si="1"/>
        <v/>
      </c>
      <c r="G38" s="38"/>
      <c r="H38" s="38"/>
      <c r="I38" s="38"/>
      <c r="J38" s="36"/>
      <c r="K38" s="29"/>
      <c r="L38" s="29"/>
      <c r="M38" s="31"/>
      <c r="N38" s="40">
        <f t="shared" si="2"/>
        <v>0</v>
      </c>
      <c r="P38" s="4" t="str">
        <f t="shared" si="3"/>
        <v/>
      </c>
      <c r="Q38" s="4" t="str">
        <f t="shared" si="4"/>
        <v/>
      </c>
      <c r="R38" s="4" t="str">
        <f t="shared" si="5"/>
        <v>/</v>
      </c>
      <c r="S38" s="4" t="str">
        <f t="shared" si="6"/>
        <v/>
      </c>
    </row>
    <row r="39" spans="1:19" x14ac:dyDescent="0.35">
      <c r="A39" s="54"/>
      <c r="B39" s="57"/>
      <c r="C39" s="60"/>
      <c r="D39" s="7" t="str">
        <f t="shared" si="0"/>
        <v/>
      </c>
      <c r="E39" s="63" t="str">
        <f>IF(OR(C39="",A39=""),"",IF(A39&lt;'Page de garde'!$G$7,IF(VALUE(RIGHT(C39,2))&lt;50,66,86),INDEX(EC!$C$2:$C$677,MATCH(C39,EC,0))))</f>
        <v/>
      </c>
      <c r="F39" s="33" t="str">
        <f t="shared" si="1"/>
        <v/>
      </c>
      <c r="G39" s="38"/>
      <c r="H39" s="38"/>
      <c r="I39" s="38"/>
      <c r="J39" s="36"/>
      <c r="K39" s="29"/>
      <c r="L39" s="29"/>
      <c r="M39" s="31"/>
      <c r="N39" s="40">
        <f t="shared" si="2"/>
        <v>0</v>
      </c>
      <c r="P39" s="4" t="str">
        <f t="shared" si="3"/>
        <v/>
      </c>
      <c r="Q39" s="4" t="str">
        <f t="shared" si="4"/>
        <v/>
      </c>
      <c r="R39" s="4" t="str">
        <f t="shared" si="5"/>
        <v>/</v>
      </c>
      <c r="S39" s="4" t="str">
        <f t="shared" si="6"/>
        <v/>
      </c>
    </row>
    <row r="40" spans="1:19" x14ac:dyDescent="0.35">
      <c r="A40" s="54"/>
      <c r="B40" s="57"/>
      <c r="C40" s="60"/>
      <c r="D40" s="7" t="str">
        <f t="shared" si="0"/>
        <v/>
      </c>
      <c r="E40" s="63" t="str">
        <f>IF(OR(C40="",A40=""),"",IF(A40&lt;'Page de garde'!$G$7,IF(VALUE(RIGHT(C40,2))&lt;50,66,86),INDEX(EC!$C$2:$C$677,MATCH(C40,EC,0))))</f>
        <v/>
      </c>
      <c r="F40" s="33" t="str">
        <f t="shared" si="1"/>
        <v/>
      </c>
      <c r="G40" s="38"/>
      <c r="H40" s="38"/>
      <c r="I40" s="38"/>
      <c r="J40" s="36"/>
      <c r="K40" s="29"/>
      <c r="L40" s="29"/>
      <c r="M40" s="31"/>
      <c r="N40" s="40">
        <f t="shared" si="2"/>
        <v>0</v>
      </c>
      <c r="P40" s="4" t="str">
        <f t="shared" si="3"/>
        <v/>
      </c>
      <c r="Q40" s="4" t="str">
        <f t="shared" si="4"/>
        <v/>
      </c>
      <c r="R40" s="4" t="str">
        <f t="shared" si="5"/>
        <v>/</v>
      </c>
      <c r="S40" s="4" t="str">
        <f t="shared" si="6"/>
        <v/>
      </c>
    </row>
    <row r="41" spans="1:19" x14ac:dyDescent="0.35">
      <c r="A41" s="54"/>
      <c r="B41" s="57"/>
      <c r="C41" s="60"/>
      <c r="D41" s="7" t="str">
        <f t="shared" si="0"/>
        <v/>
      </c>
      <c r="E41" s="63" t="str">
        <f>IF(OR(C41="",A41=""),"",IF(A41&lt;'Page de garde'!$G$7,IF(VALUE(RIGHT(C41,2))&lt;50,66,86),INDEX(EC!$C$2:$C$677,MATCH(C41,EC,0))))</f>
        <v/>
      </c>
      <c r="F41" s="33" t="str">
        <f t="shared" si="1"/>
        <v/>
      </c>
      <c r="G41" s="38"/>
      <c r="H41" s="38"/>
      <c r="I41" s="38"/>
      <c r="J41" s="36"/>
      <c r="K41" s="29"/>
      <c r="L41" s="29"/>
      <c r="M41" s="31"/>
      <c r="N41" s="40">
        <f t="shared" si="2"/>
        <v>0</v>
      </c>
      <c r="P41" s="4" t="str">
        <f t="shared" si="3"/>
        <v/>
      </c>
      <c r="Q41" s="4" t="str">
        <f t="shared" si="4"/>
        <v/>
      </c>
      <c r="R41" s="4" t="str">
        <f t="shared" si="5"/>
        <v>/</v>
      </c>
      <c r="S41" s="4" t="str">
        <f t="shared" si="6"/>
        <v/>
      </c>
    </row>
    <row r="42" spans="1:19" x14ac:dyDescent="0.35">
      <c r="A42" s="54"/>
      <c r="B42" s="57"/>
      <c r="C42" s="60"/>
      <c r="D42" s="7" t="str">
        <f t="shared" si="0"/>
        <v/>
      </c>
      <c r="E42" s="63" t="str">
        <f>IF(OR(C42="",A42=""),"",IF(A42&lt;'Page de garde'!$G$7,IF(VALUE(RIGHT(C42,2))&lt;50,66,86),INDEX(EC!$C$2:$C$677,MATCH(C42,EC,0))))</f>
        <v/>
      </c>
      <c r="F42" s="33" t="str">
        <f t="shared" si="1"/>
        <v/>
      </c>
      <c r="G42" s="38"/>
      <c r="H42" s="38"/>
      <c r="I42" s="38"/>
      <c r="J42" s="36"/>
      <c r="K42" s="29"/>
      <c r="L42" s="29"/>
      <c r="M42" s="31"/>
      <c r="N42" s="40">
        <f t="shared" si="2"/>
        <v>0</v>
      </c>
      <c r="P42" s="4" t="str">
        <f t="shared" si="3"/>
        <v/>
      </c>
      <c r="Q42" s="4" t="str">
        <f t="shared" si="4"/>
        <v/>
      </c>
      <c r="R42" s="4" t="str">
        <f t="shared" si="5"/>
        <v>/</v>
      </c>
      <c r="S42" s="4" t="str">
        <f t="shared" si="6"/>
        <v/>
      </c>
    </row>
    <row r="43" spans="1:19" x14ac:dyDescent="0.35">
      <c r="A43" s="54"/>
      <c r="B43" s="57"/>
      <c r="C43" s="60"/>
      <c r="D43" s="7" t="str">
        <f t="shared" si="0"/>
        <v/>
      </c>
      <c r="E43" s="63" t="str">
        <f>IF(OR(C43="",A43=""),"",IF(A43&lt;'Page de garde'!$G$7,IF(VALUE(RIGHT(C43,2))&lt;50,66,86),INDEX(EC!$C$2:$C$677,MATCH(C43,EC,0))))</f>
        <v/>
      </c>
      <c r="F43" s="33" t="str">
        <f t="shared" si="1"/>
        <v/>
      </c>
      <c r="G43" s="38"/>
      <c r="H43" s="38"/>
      <c r="I43" s="38"/>
      <c r="J43" s="36"/>
      <c r="K43" s="29"/>
      <c r="L43" s="29"/>
      <c r="M43" s="31"/>
      <c r="N43" s="40">
        <f t="shared" si="2"/>
        <v>0</v>
      </c>
      <c r="P43" s="4" t="str">
        <f t="shared" si="3"/>
        <v/>
      </c>
      <c r="Q43" s="4" t="str">
        <f t="shared" si="4"/>
        <v/>
      </c>
      <c r="R43" s="4" t="str">
        <f t="shared" si="5"/>
        <v>/</v>
      </c>
      <c r="S43" s="4" t="str">
        <f t="shared" si="6"/>
        <v/>
      </c>
    </row>
    <row r="44" spans="1:19" x14ac:dyDescent="0.35">
      <c r="A44" s="54"/>
      <c r="B44" s="57"/>
      <c r="C44" s="60"/>
      <c r="D44" s="7" t="str">
        <f t="shared" si="0"/>
        <v/>
      </c>
      <c r="E44" s="63" t="str">
        <f>IF(OR(C44="",A44=""),"",IF(A44&lt;'Page de garde'!$G$7,IF(VALUE(RIGHT(C44,2))&lt;50,66,86),INDEX(EC!$C$2:$C$677,MATCH(C44,EC,0))))</f>
        <v/>
      </c>
      <c r="F44" s="33" t="str">
        <f t="shared" si="1"/>
        <v/>
      </c>
      <c r="G44" s="38"/>
      <c r="H44" s="38"/>
      <c r="I44" s="38"/>
      <c r="J44" s="36"/>
      <c r="K44" s="29"/>
      <c r="L44" s="29"/>
      <c r="M44" s="31"/>
      <c r="N44" s="40">
        <f t="shared" si="2"/>
        <v>0</v>
      </c>
      <c r="P44" s="4" t="str">
        <f t="shared" si="3"/>
        <v/>
      </c>
      <c r="Q44" s="4" t="str">
        <f t="shared" si="4"/>
        <v/>
      </c>
      <c r="R44" s="4" t="str">
        <f t="shared" si="5"/>
        <v>/</v>
      </c>
      <c r="S44" s="4" t="str">
        <f t="shared" si="6"/>
        <v/>
      </c>
    </row>
    <row r="45" spans="1:19" x14ac:dyDescent="0.35">
      <c r="A45" s="54"/>
      <c r="B45" s="57"/>
      <c r="C45" s="60"/>
      <c r="D45" s="7" t="str">
        <f t="shared" si="0"/>
        <v/>
      </c>
      <c r="E45" s="63" t="str">
        <f>IF(OR(C45="",A45=""),"",IF(A45&lt;'Page de garde'!$G$7,IF(VALUE(RIGHT(C45,2))&lt;50,66,86),INDEX(EC!$C$2:$C$677,MATCH(C45,EC,0))))</f>
        <v/>
      </c>
      <c r="F45" s="33" t="str">
        <f t="shared" si="1"/>
        <v/>
      </c>
      <c r="G45" s="38"/>
      <c r="H45" s="38"/>
      <c r="I45" s="38"/>
      <c r="J45" s="36"/>
      <c r="K45" s="29"/>
      <c r="L45" s="29"/>
      <c r="M45" s="31"/>
      <c r="N45" s="40">
        <f t="shared" si="2"/>
        <v>0</v>
      </c>
      <c r="P45" s="4" t="str">
        <f t="shared" si="3"/>
        <v/>
      </c>
      <c r="Q45" s="4" t="str">
        <f t="shared" si="4"/>
        <v/>
      </c>
      <c r="R45" s="4" t="str">
        <f t="shared" si="5"/>
        <v>/</v>
      </c>
      <c r="S45" s="4" t="str">
        <f t="shared" si="6"/>
        <v/>
      </c>
    </row>
    <row r="46" spans="1:19" x14ac:dyDescent="0.35">
      <c r="A46" s="54"/>
      <c r="B46" s="57"/>
      <c r="C46" s="60"/>
      <c r="D46" s="7" t="str">
        <f t="shared" si="0"/>
        <v/>
      </c>
      <c r="E46" s="63" t="str">
        <f>IF(OR(C46="",A46=""),"",IF(A46&lt;'Page de garde'!$G$7,IF(VALUE(RIGHT(C46,2))&lt;50,66,86),INDEX(EC!$C$2:$C$677,MATCH(C46,EC,0))))</f>
        <v/>
      </c>
      <c r="F46" s="33" t="str">
        <f t="shared" si="1"/>
        <v/>
      </c>
      <c r="G46" s="38"/>
      <c r="H46" s="38"/>
      <c r="I46" s="38"/>
      <c r="J46" s="36"/>
      <c r="K46" s="29"/>
      <c r="L46" s="29"/>
      <c r="M46" s="31"/>
      <c r="N46" s="40">
        <f t="shared" si="2"/>
        <v>0</v>
      </c>
      <c r="P46" s="4" t="str">
        <f t="shared" si="3"/>
        <v/>
      </c>
      <c r="Q46" s="4" t="str">
        <f t="shared" si="4"/>
        <v/>
      </c>
      <c r="R46" s="4" t="str">
        <f t="shared" si="5"/>
        <v>/</v>
      </c>
      <c r="S46" s="4" t="str">
        <f t="shared" si="6"/>
        <v/>
      </c>
    </row>
    <row r="47" spans="1:19" x14ac:dyDescent="0.35">
      <c r="A47" s="54"/>
      <c r="B47" s="57"/>
      <c r="C47" s="60"/>
      <c r="D47" s="7" t="str">
        <f t="shared" si="0"/>
        <v/>
      </c>
      <c r="E47" s="63" t="str">
        <f>IF(OR(C47="",A47=""),"",IF(A47&lt;'Page de garde'!$G$7,IF(VALUE(RIGHT(C47,2))&lt;50,66,86),INDEX(EC!$C$2:$C$677,MATCH(C47,EC,0))))</f>
        <v/>
      </c>
      <c r="F47" s="33" t="str">
        <f t="shared" si="1"/>
        <v/>
      </c>
      <c r="G47" s="38"/>
      <c r="H47" s="38"/>
      <c r="I47" s="38"/>
      <c r="J47" s="36"/>
      <c r="K47" s="29"/>
      <c r="L47" s="29"/>
      <c r="M47" s="31"/>
      <c r="N47" s="40">
        <f t="shared" si="2"/>
        <v>0</v>
      </c>
      <c r="P47" s="4" t="str">
        <f t="shared" si="3"/>
        <v/>
      </c>
      <c r="Q47" s="4" t="str">
        <f t="shared" si="4"/>
        <v/>
      </c>
      <c r="R47" s="4" t="str">
        <f t="shared" si="5"/>
        <v>/</v>
      </c>
      <c r="S47" s="4" t="str">
        <f t="shared" si="6"/>
        <v/>
      </c>
    </row>
    <row r="48" spans="1:19" x14ac:dyDescent="0.35">
      <c r="A48" s="54"/>
      <c r="B48" s="57"/>
      <c r="C48" s="60"/>
      <c r="D48" s="7" t="str">
        <f t="shared" si="0"/>
        <v/>
      </c>
      <c r="E48" s="63" t="str">
        <f>IF(OR(C48="",A48=""),"",IF(A48&lt;'Page de garde'!$G$7,IF(VALUE(RIGHT(C48,2))&lt;50,66,86),INDEX(EC!$C$2:$C$677,MATCH(C48,EC,0))))</f>
        <v/>
      </c>
      <c r="F48" s="33" t="str">
        <f t="shared" si="1"/>
        <v/>
      </c>
      <c r="G48" s="38"/>
      <c r="H48" s="38"/>
      <c r="I48" s="38"/>
      <c r="J48" s="36"/>
      <c r="K48" s="29"/>
      <c r="L48" s="29"/>
      <c r="M48" s="31"/>
      <c r="N48" s="40">
        <f t="shared" si="2"/>
        <v>0</v>
      </c>
      <c r="P48" s="4" t="str">
        <f t="shared" si="3"/>
        <v/>
      </c>
      <c r="Q48" s="4" t="str">
        <f t="shared" si="4"/>
        <v/>
      </c>
      <c r="R48" s="4" t="str">
        <f t="shared" si="5"/>
        <v>/</v>
      </c>
      <c r="S48" s="4" t="str">
        <f t="shared" si="6"/>
        <v/>
      </c>
    </row>
    <row r="49" spans="1:19" x14ac:dyDescent="0.35">
      <c r="A49" s="54"/>
      <c r="B49" s="57"/>
      <c r="C49" s="60"/>
      <c r="D49" s="7" t="str">
        <f t="shared" si="0"/>
        <v/>
      </c>
      <c r="E49" s="63" t="str">
        <f>IF(OR(C49="",A49=""),"",IF(A49&lt;'Page de garde'!$G$7,IF(VALUE(RIGHT(C49,2))&lt;50,66,86),INDEX(EC!$C$2:$C$677,MATCH(C49,EC,0))))</f>
        <v/>
      </c>
      <c r="F49" s="33" t="str">
        <f t="shared" si="1"/>
        <v/>
      </c>
      <c r="G49" s="38"/>
      <c r="H49" s="38"/>
      <c r="I49" s="38"/>
      <c r="J49" s="36"/>
      <c r="K49" s="29"/>
      <c r="L49" s="29"/>
      <c r="M49" s="31"/>
      <c r="N49" s="40">
        <f t="shared" si="2"/>
        <v>0</v>
      </c>
      <c r="P49" s="4" t="str">
        <f t="shared" si="3"/>
        <v/>
      </c>
      <c r="Q49" s="4" t="str">
        <f t="shared" si="4"/>
        <v/>
      </c>
      <c r="R49" s="4" t="str">
        <f t="shared" si="5"/>
        <v>/</v>
      </c>
      <c r="S49" s="4" t="str">
        <f t="shared" si="6"/>
        <v/>
      </c>
    </row>
    <row r="50" spans="1:19" x14ac:dyDescent="0.35">
      <c r="A50" s="54"/>
      <c r="B50" s="57"/>
      <c r="C50" s="60"/>
      <c r="D50" s="7" t="str">
        <f t="shared" si="0"/>
        <v/>
      </c>
      <c r="E50" s="63" t="str">
        <f>IF(OR(C50="",A50=""),"",IF(A50&lt;'Page de garde'!$G$7,IF(VALUE(RIGHT(C50,2))&lt;50,66,86),INDEX(EC!$C$2:$C$677,MATCH(C50,EC,0))))</f>
        <v/>
      </c>
      <c r="F50" s="33" t="str">
        <f t="shared" si="1"/>
        <v/>
      </c>
      <c r="G50" s="38"/>
      <c r="H50" s="38"/>
      <c r="I50" s="38"/>
      <c r="J50" s="36"/>
      <c r="K50" s="29"/>
      <c r="L50" s="29"/>
      <c r="M50" s="31"/>
      <c r="N50" s="40">
        <f t="shared" si="2"/>
        <v>0</v>
      </c>
      <c r="P50" s="4" t="str">
        <f t="shared" si="3"/>
        <v/>
      </c>
      <c r="Q50" s="4" t="str">
        <f t="shared" si="4"/>
        <v/>
      </c>
      <c r="R50" s="4" t="str">
        <f t="shared" si="5"/>
        <v>/</v>
      </c>
      <c r="S50" s="4" t="str">
        <f t="shared" si="6"/>
        <v/>
      </c>
    </row>
    <row r="51" spans="1:19" x14ac:dyDescent="0.35">
      <c r="A51" s="54"/>
      <c r="B51" s="57"/>
      <c r="C51" s="60"/>
      <c r="D51" s="7" t="str">
        <f t="shared" si="0"/>
        <v/>
      </c>
      <c r="E51" s="63" t="str">
        <f>IF(OR(C51="",A51=""),"",IF(A51&lt;'Page de garde'!$G$7,IF(VALUE(RIGHT(C51,2))&lt;50,66,86),INDEX(EC!$C$2:$C$677,MATCH(C51,EC,0))))</f>
        <v/>
      </c>
      <c r="F51" s="33" t="str">
        <f t="shared" si="1"/>
        <v/>
      </c>
      <c r="G51" s="38"/>
      <c r="H51" s="38"/>
      <c r="I51" s="38"/>
      <c r="J51" s="36"/>
      <c r="K51" s="29"/>
      <c r="L51" s="29"/>
      <c r="M51" s="31"/>
      <c r="N51" s="40">
        <f t="shared" si="2"/>
        <v>0</v>
      </c>
      <c r="P51" s="4" t="str">
        <f t="shared" si="3"/>
        <v/>
      </c>
      <c r="Q51" s="4" t="str">
        <f t="shared" si="4"/>
        <v/>
      </c>
      <c r="R51" s="4" t="str">
        <f t="shared" si="5"/>
        <v>/</v>
      </c>
      <c r="S51" s="4" t="str">
        <f t="shared" si="6"/>
        <v/>
      </c>
    </row>
    <row r="52" spans="1:19" x14ac:dyDescent="0.35">
      <c r="A52" s="54"/>
      <c r="B52" s="57"/>
      <c r="C52" s="60"/>
      <c r="D52" s="7" t="str">
        <f t="shared" si="0"/>
        <v/>
      </c>
      <c r="E52" s="63" t="str">
        <f>IF(OR(C52="",A52=""),"",IF(A52&lt;'Page de garde'!$G$7,IF(VALUE(RIGHT(C52,2))&lt;50,66,86),INDEX(EC!$C$2:$C$677,MATCH(C52,EC,0))))</f>
        <v/>
      </c>
      <c r="F52" s="33" t="str">
        <f t="shared" si="1"/>
        <v/>
      </c>
      <c r="G52" s="38"/>
      <c r="H52" s="38"/>
      <c r="I52" s="38"/>
      <c r="J52" s="36"/>
      <c r="K52" s="29"/>
      <c r="L52" s="29"/>
      <c r="M52" s="31"/>
      <c r="N52" s="40">
        <f t="shared" si="2"/>
        <v>0</v>
      </c>
      <c r="P52" s="4" t="str">
        <f t="shared" si="3"/>
        <v/>
      </c>
      <c r="Q52" s="4" t="str">
        <f t="shared" si="4"/>
        <v/>
      </c>
      <c r="R52" s="4" t="str">
        <f t="shared" si="5"/>
        <v>/</v>
      </c>
      <c r="S52" s="4" t="str">
        <f t="shared" si="6"/>
        <v/>
      </c>
    </row>
    <row r="53" spans="1:19" x14ac:dyDescent="0.35">
      <c r="A53" s="54"/>
      <c r="B53" s="57"/>
      <c r="C53" s="60"/>
      <c r="D53" s="7" t="str">
        <f t="shared" si="0"/>
        <v/>
      </c>
      <c r="E53" s="63" t="str">
        <f>IF(OR(C53="",A53=""),"",IF(A53&lt;'Page de garde'!$G$7,IF(VALUE(RIGHT(C53,2))&lt;50,66,86),INDEX(EC!$C$2:$C$677,MATCH(C53,EC,0))))</f>
        <v/>
      </c>
      <c r="F53" s="33" t="str">
        <f t="shared" si="1"/>
        <v/>
      </c>
      <c r="G53" s="38"/>
      <c r="H53" s="38"/>
      <c r="I53" s="38"/>
      <c r="J53" s="36"/>
      <c r="K53" s="29"/>
      <c r="L53" s="29"/>
      <c r="M53" s="31"/>
      <c r="N53" s="40">
        <f t="shared" si="2"/>
        <v>0</v>
      </c>
      <c r="P53" s="4" t="str">
        <f t="shared" si="3"/>
        <v/>
      </c>
      <c r="Q53" s="4" t="str">
        <f t="shared" si="4"/>
        <v/>
      </c>
      <c r="R53" s="4" t="str">
        <f t="shared" si="5"/>
        <v>/</v>
      </c>
      <c r="S53" s="4" t="str">
        <f t="shared" si="6"/>
        <v/>
      </c>
    </row>
    <row r="54" spans="1:19" x14ac:dyDescent="0.35">
      <c r="A54" s="54"/>
      <c r="B54" s="57"/>
      <c r="C54" s="60"/>
      <c r="D54" s="7" t="str">
        <f t="shared" si="0"/>
        <v/>
      </c>
      <c r="E54" s="63" t="str">
        <f>IF(OR(C54="",A54=""),"",IF(A54&lt;'Page de garde'!$G$7,IF(VALUE(RIGHT(C54,2))&lt;50,66,86),INDEX(EC!$C$2:$C$677,MATCH(C54,EC,0))))</f>
        <v/>
      </c>
      <c r="F54" s="33" t="str">
        <f t="shared" si="1"/>
        <v/>
      </c>
      <c r="G54" s="38"/>
      <c r="H54" s="38"/>
      <c r="I54" s="38"/>
      <c r="J54" s="36"/>
      <c r="K54" s="29"/>
      <c r="L54" s="29"/>
      <c r="M54" s="31"/>
      <c r="N54" s="40">
        <f t="shared" si="2"/>
        <v>0</v>
      </c>
      <c r="P54" s="4" t="str">
        <f t="shared" si="3"/>
        <v/>
      </c>
      <c r="Q54" s="4" t="str">
        <f t="shared" si="4"/>
        <v/>
      </c>
      <c r="R54" s="4" t="str">
        <f t="shared" si="5"/>
        <v>/</v>
      </c>
      <c r="S54" s="4" t="str">
        <f t="shared" si="6"/>
        <v/>
      </c>
    </row>
    <row r="55" spans="1:19" x14ac:dyDescent="0.35">
      <c r="A55" s="54"/>
      <c r="B55" s="57"/>
      <c r="C55" s="60"/>
      <c r="D55" s="7" t="str">
        <f t="shared" si="0"/>
        <v/>
      </c>
      <c r="E55" s="63" t="str">
        <f>IF(OR(C55="",A55=""),"",IF(A55&lt;'Page de garde'!$G$7,IF(VALUE(RIGHT(C55,2))&lt;50,66,86),INDEX(EC!$C$2:$C$677,MATCH(C55,EC,0))))</f>
        <v/>
      </c>
      <c r="F55" s="33" t="str">
        <f t="shared" si="1"/>
        <v/>
      </c>
      <c r="G55" s="38"/>
      <c r="H55" s="38"/>
      <c r="I55" s="38"/>
      <c r="J55" s="36"/>
      <c r="K55" s="29"/>
      <c r="L55" s="29"/>
      <c r="M55" s="31"/>
      <c r="N55" s="40">
        <f t="shared" si="2"/>
        <v>0</v>
      </c>
      <c r="P55" s="4" t="str">
        <f t="shared" si="3"/>
        <v/>
      </c>
      <c r="Q55" s="4" t="str">
        <f t="shared" si="4"/>
        <v/>
      </c>
      <c r="R55" s="4" t="str">
        <f t="shared" si="5"/>
        <v>/</v>
      </c>
      <c r="S55" s="4" t="str">
        <f t="shared" si="6"/>
        <v/>
      </c>
    </row>
    <row r="56" spans="1:19" x14ac:dyDescent="0.35">
      <c r="A56" s="54"/>
      <c r="B56" s="57"/>
      <c r="C56" s="60"/>
      <c r="D56" s="7" t="str">
        <f t="shared" si="0"/>
        <v/>
      </c>
      <c r="E56" s="63" t="str">
        <f>IF(OR(C56="",A56=""),"",IF(A56&lt;'Page de garde'!$G$7,IF(VALUE(RIGHT(C56,2))&lt;50,66,86),INDEX(EC!$C$2:$C$677,MATCH(C56,EC,0))))</f>
        <v/>
      </c>
      <c r="F56" s="33" t="str">
        <f t="shared" si="1"/>
        <v/>
      </c>
      <c r="G56" s="38"/>
      <c r="H56" s="38"/>
      <c r="I56" s="38"/>
      <c r="J56" s="36"/>
      <c r="K56" s="29"/>
      <c r="L56" s="29"/>
      <c r="M56" s="31"/>
      <c r="N56" s="40">
        <f t="shared" si="2"/>
        <v>0</v>
      </c>
      <c r="P56" s="4" t="str">
        <f t="shared" si="3"/>
        <v/>
      </c>
      <c r="Q56" s="4" t="str">
        <f t="shared" si="4"/>
        <v/>
      </c>
      <c r="R56" s="4" t="str">
        <f t="shared" si="5"/>
        <v>/</v>
      </c>
      <c r="S56" s="4" t="str">
        <f t="shared" si="6"/>
        <v/>
      </c>
    </row>
    <row r="57" spans="1:19" x14ac:dyDescent="0.35">
      <c r="A57" s="54"/>
      <c r="B57" s="57"/>
      <c r="C57" s="60"/>
      <c r="D57" s="7" t="str">
        <f t="shared" si="0"/>
        <v/>
      </c>
      <c r="E57" s="63" t="str">
        <f>IF(OR(C57="",A57=""),"",IF(A57&lt;'Page de garde'!$G$7,IF(VALUE(RIGHT(C57,2))&lt;50,66,86),INDEX(EC!$C$2:$C$677,MATCH(C57,EC,0))))</f>
        <v/>
      </c>
      <c r="F57" s="33" t="str">
        <f t="shared" si="1"/>
        <v/>
      </c>
      <c r="G57" s="38"/>
      <c r="H57" s="38"/>
      <c r="I57" s="38"/>
      <c r="J57" s="36"/>
      <c r="K57" s="29"/>
      <c r="L57" s="29"/>
      <c r="M57" s="31"/>
      <c r="N57" s="40">
        <f t="shared" si="2"/>
        <v>0</v>
      </c>
      <c r="P57" s="4" t="str">
        <f t="shared" si="3"/>
        <v/>
      </c>
      <c r="Q57" s="4" t="str">
        <f t="shared" si="4"/>
        <v/>
      </c>
      <c r="R57" s="4" t="str">
        <f t="shared" si="5"/>
        <v>/</v>
      </c>
      <c r="S57" s="4" t="str">
        <f t="shared" si="6"/>
        <v/>
      </c>
    </row>
    <row r="58" spans="1:19" x14ac:dyDescent="0.35">
      <c r="A58" s="54"/>
      <c r="B58" s="57"/>
      <c r="C58" s="60"/>
      <c r="D58" s="7" t="str">
        <f t="shared" si="0"/>
        <v/>
      </c>
      <c r="E58" s="63" t="str">
        <f>IF(OR(C58="",A58=""),"",IF(A58&lt;'Page de garde'!$G$7,IF(VALUE(RIGHT(C58,2))&lt;50,66,86),INDEX(EC!$C$2:$C$677,MATCH(C58,EC,0))))</f>
        <v/>
      </c>
      <c r="F58" s="33" t="str">
        <f t="shared" si="1"/>
        <v/>
      </c>
      <c r="G58" s="38"/>
      <c r="H58" s="38"/>
      <c r="I58" s="38"/>
      <c r="J58" s="36"/>
      <c r="K58" s="29"/>
      <c r="L58" s="29"/>
      <c r="M58" s="31"/>
      <c r="N58" s="40">
        <f t="shared" si="2"/>
        <v>0</v>
      </c>
      <c r="P58" s="4" t="str">
        <f t="shared" si="3"/>
        <v/>
      </c>
      <c r="Q58" s="4" t="str">
        <f t="shared" si="4"/>
        <v/>
      </c>
      <c r="R58" s="4" t="str">
        <f t="shared" si="5"/>
        <v>/</v>
      </c>
      <c r="S58" s="4" t="str">
        <f t="shared" si="6"/>
        <v/>
      </c>
    </row>
    <row r="59" spans="1:19" x14ac:dyDescent="0.35">
      <c r="A59" s="54"/>
      <c r="B59" s="57"/>
      <c r="C59" s="60"/>
      <c r="D59" s="7" t="str">
        <f t="shared" si="0"/>
        <v/>
      </c>
      <c r="E59" s="63" t="str">
        <f>IF(OR(C59="",A59=""),"",IF(A59&lt;'Page de garde'!$G$7,IF(VALUE(RIGHT(C59,2))&lt;50,66,86),INDEX(EC!$C$2:$C$677,MATCH(C59,EC,0))))</f>
        <v/>
      </c>
      <c r="F59" s="33" t="str">
        <f t="shared" si="1"/>
        <v/>
      </c>
      <c r="G59" s="38"/>
      <c r="H59" s="38"/>
      <c r="I59" s="38"/>
      <c r="J59" s="36"/>
      <c r="K59" s="29"/>
      <c r="L59" s="29"/>
      <c r="M59" s="31"/>
      <c r="N59" s="40">
        <f t="shared" si="2"/>
        <v>0</v>
      </c>
      <c r="P59" s="4" t="str">
        <f t="shared" si="3"/>
        <v/>
      </c>
      <c r="Q59" s="4" t="str">
        <f t="shared" si="4"/>
        <v/>
      </c>
      <c r="R59" s="4" t="str">
        <f t="shared" si="5"/>
        <v>/</v>
      </c>
      <c r="S59" s="4" t="str">
        <f t="shared" si="6"/>
        <v/>
      </c>
    </row>
    <row r="60" spans="1:19" x14ac:dyDescent="0.35">
      <c r="A60" s="54"/>
      <c r="B60" s="57"/>
      <c r="C60" s="60"/>
      <c r="D60" s="7" t="str">
        <f t="shared" si="0"/>
        <v/>
      </c>
      <c r="E60" s="63" t="str">
        <f>IF(OR(C60="",A60=""),"",IF(A60&lt;'Page de garde'!$G$7,IF(VALUE(RIGHT(C60,2))&lt;50,66,86),INDEX(EC!$C$2:$C$677,MATCH(C60,EC,0))))</f>
        <v/>
      </c>
      <c r="F60" s="33" t="str">
        <f t="shared" si="1"/>
        <v/>
      </c>
      <c r="G60" s="38"/>
      <c r="H60" s="38"/>
      <c r="I60" s="38"/>
      <c r="J60" s="36"/>
      <c r="K60" s="29"/>
      <c r="L60" s="29"/>
      <c r="M60" s="31"/>
      <c r="N60" s="40">
        <f t="shared" si="2"/>
        <v>0</v>
      </c>
      <c r="P60" s="4" t="str">
        <f t="shared" si="3"/>
        <v/>
      </c>
      <c r="Q60" s="4" t="str">
        <f t="shared" si="4"/>
        <v/>
      </c>
      <c r="R60" s="4" t="str">
        <f t="shared" si="5"/>
        <v>/</v>
      </c>
      <c r="S60" s="4" t="str">
        <f t="shared" si="6"/>
        <v/>
      </c>
    </row>
    <row r="61" spans="1:19" x14ac:dyDescent="0.35">
      <c r="A61" s="54"/>
      <c r="B61" s="57"/>
      <c r="C61" s="60"/>
      <c r="D61" s="7" t="str">
        <f t="shared" si="0"/>
        <v/>
      </c>
      <c r="E61" s="63" t="str">
        <f>IF(OR(C61="",A61=""),"",IF(A61&lt;'Page de garde'!$G$7,IF(VALUE(RIGHT(C61,2))&lt;50,66,86),INDEX(EC!$C$2:$C$677,MATCH(C61,EC,0))))</f>
        <v/>
      </c>
      <c r="F61" s="33" t="str">
        <f t="shared" si="1"/>
        <v/>
      </c>
      <c r="G61" s="38"/>
      <c r="H61" s="38"/>
      <c r="I61" s="38"/>
      <c r="J61" s="36"/>
      <c r="K61" s="29"/>
      <c r="L61" s="29"/>
      <c r="M61" s="31"/>
      <c r="N61" s="40">
        <f t="shared" si="2"/>
        <v>0</v>
      </c>
      <c r="P61" s="4" t="str">
        <f t="shared" si="3"/>
        <v/>
      </c>
      <c r="Q61" s="4" t="str">
        <f t="shared" si="4"/>
        <v/>
      </c>
      <c r="R61" s="4" t="str">
        <f t="shared" si="5"/>
        <v>/</v>
      </c>
      <c r="S61" s="4" t="str">
        <f t="shared" si="6"/>
        <v/>
      </c>
    </row>
    <row r="62" spans="1:19" x14ac:dyDescent="0.35">
      <c r="A62" s="54"/>
      <c r="B62" s="57"/>
      <c r="C62" s="60"/>
      <c r="D62" s="7" t="str">
        <f t="shared" si="0"/>
        <v/>
      </c>
      <c r="E62" s="63" t="str">
        <f>IF(OR(C62="",A62=""),"",IF(A62&lt;'Page de garde'!$G$7,IF(VALUE(RIGHT(C62,2))&lt;50,66,86),INDEX(EC!$C$2:$C$677,MATCH(C62,EC,0))))</f>
        <v/>
      </c>
      <c r="F62" s="33" t="str">
        <f t="shared" si="1"/>
        <v/>
      </c>
      <c r="G62" s="38"/>
      <c r="H62" s="38"/>
      <c r="I62" s="38"/>
      <c r="J62" s="36"/>
      <c r="K62" s="29"/>
      <c r="L62" s="29"/>
      <c r="M62" s="31"/>
      <c r="N62" s="40">
        <f t="shared" si="2"/>
        <v>0</v>
      </c>
      <c r="P62" s="4" t="str">
        <f t="shared" si="3"/>
        <v/>
      </c>
      <c r="Q62" s="4" t="str">
        <f t="shared" si="4"/>
        <v/>
      </c>
      <c r="R62" s="4" t="str">
        <f t="shared" si="5"/>
        <v>/</v>
      </c>
      <c r="S62" s="4" t="str">
        <f t="shared" si="6"/>
        <v/>
      </c>
    </row>
    <row r="63" spans="1:19" x14ac:dyDescent="0.35">
      <c r="A63" s="54"/>
      <c r="B63" s="57"/>
      <c r="C63" s="60"/>
      <c r="D63" s="7" t="str">
        <f t="shared" si="0"/>
        <v/>
      </c>
      <c r="E63" s="63" t="str">
        <f>IF(OR(C63="",A63=""),"",IF(A63&lt;'Page de garde'!$G$7,IF(VALUE(RIGHT(C63,2))&lt;50,66,86),INDEX(EC!$C$2:$C$677,MATCH(C63,EC,0))))</f>
        <v/>
      </c>
      <c r="F63" s="33" t="str">
        <f t="shared" si="1"/>
        <v/>
      </c>
      <c r="G63" s="38"/>
      <c r="H63" s="38"/>
      <c r="I63" s="38"/>
      <c r="J63" s="36"/>
      <c r="K63" s="29"/>
      <c r="L63" s="29"/>
      <c r="M63" s="31"/>
      <c r="N63" s="40">
        <f t="shared" si="2"/>
        <v>0</v>
      </c>
      <c r="P63" s="4" t="str">
        <f t="shared" si="3"/>
        <v/>
      </c>
      <c r="Q63" s="4" t="str">
        <f t="shared" si="4"/>
        <v/>
      </c>
      <c r="R63" s="4" t="str">
        <f t="shared" si="5"/>
        <v>/</v>
      </c>
      <c r="S63" s="4" t="str">
        <f t="shared" si="6"/>
        <v/>
      </c>
    </row>
    <row r="64" spans="1:19" x14ac:dyDescent="0.35">
      <c r="A64" s="54"/>
      <c r="B64" s="57"/>
      <c r="C64" s="60"/>
      <c r="D64" s="7" t="str">
        <f t="shared" si="0"/>
        <v/>
      </c>
      <c r="E64" s="63" t="str">
        <f>IF(OR(C64="",A64=""),"",IF(A64&lt;'Page de garde'!$G$7,IF(VALUE(RIGHT(C64,2))&lt;50,66,86),INDEX(EC!$C$2:$C$677,MATCH(C64,EC,0))))</f>
        <v/>
      </c>
      <c r="F64" s="33" t="str">
        <f t="shared" si="1"/>
        <v/>
      </c>
      <c r="G64" s="38"/>
      <c r="H64" s="38"/>
      <c r="I64" s="38"/>
      <c r="J64" s="36"/>
      <c r="K64" s="29"/>
      <c r="L64" s="29"/>
      <c r="M64" s="31"/>
      <c r="N64" s="40">
        <f t="shared" si="2"/>
        <v>0</v>
      </c>
      <c r="P64" s="4" t="str">
        <f t="shared" si="3"/>
        <v/>
      </c>
      <c r="Q64" s="4" t="str">
        <f t="shared" si="4"/>
        <v/>
      </c>
      <c r="R64" s="4" t="str">
        <f t="shared" si="5"/>
        <v>/</v>
      </c>
      <c r="S64" s="4" t="str">
        <f t="shared" si="6"/>
        <v/>
      </c>
    </row>
    <row r="65" spans="1:19" x14ac:dyDescent="0.35">
      <c r="A65" s="54"/>
      <c r="B65" s="57"/>
      <c r="C65" s="60"/>
      <c r="D65" s="7" t="str">
        <f t="shared" si="0"/>
        <v/>
      </c>
      <c r="E65" s="63" t="str">
        <f>IF(OR(C65="",A65=""),"",IF(A65&lt;'Page de garde'!$G$7,IF(VALUE(RIGHT(C65,2))&lt;50,66,86),INDEX(EC!$C$2:$C$677,MATCH(C65,EC,0))))</f>
        <v/>
      </c>
      <c r="F65" s="33" t="str">
        <f t="shared" si="1"/>
        <v/>
      </c>
      <c r="G65" s="38"/>
      <c r="H65" s="38"/>
      <c r="I65" s="38"/>
      <c r="J65" s="36"/>
      <c r="K65" s="29"/>
      <c r="L65" s="29"/>
      <c r="M65" s="31"/>
      <c r="N65" s="40">
        <f t="shared" si="2"/>
        <v>0</v>
      </c>
      <c r="P65" s="4" t="str">
        <f t="shared" si="3"/>
        <v/>
      </c>
      <c r="Q65" s="4" t="str">
        <f t="shared" si="4"/>
        <v/>
      </c>
      <c r="R65" s="4" t="str">
        <f t="shared" si="5"/>
        <v>/</v>
      </c>
      <c r="S65" s="4" t="str">
        <f t="shared" si="6"/>
        <v/>
      </c>
    </row>
    <row r="66" spans="1:19" x14ac:dyDescent="0.35">
      <c r="A66" s="54"/>
      <c r="B66" s="57"/>
      <c r="C66" s="60"/>
      <c r="D66" s="7" t="str">
        <f t="shared" si="0"/>
        <v/>
      </c>
      <c r="E66" s="63" t="str">
        <f>IF(OR(C66="",A66=""),"",IF(A66&lt;'Page de garde'!$G$7,IF(VALUE(RIGHT(C66,2))&lt;50,66,86),INDEX(EC!$C$2:$C$677,MATCH(C66,EC,0))))</f>
        <v/>
      </c>
      <c r="F66" s="33" t="str">
        <f t="shared" si="1"/>
        <v/>
      </c>
      <c r="G66" s="38"/>
      <c r="H66" s="38"/>
      <c r="I66" s="38"/>
      <c r="J66" s="36"/>
      <c r="K66" s="29"/>
      <c r="L66" s="29"/>
      <c r="M66" s="31"/>
      <c r="N66" s="40">
        <f t="shared" si="2"/>
        <v>0</v>
      </c>
      <c r="P66" s="4" t="str">
        <f t="shared" si="3"/>
        <v/>
      </c>
      <c r="Q66" s="4" t="str">
        <f t="shared" si="4"/>
        <v/>
      </c>
      <c r="R66" s="4" t="str">
        <f t="shared" si="5"/>
        <v>/</v>
      </c>
      <c r="S66" s="4" t="str">
        <f t="shared" si="6"/>
        <v/>
      </c>
    </row>
    <row r="67" spans="1:19" x14ac:dyDescent="0.35">
      <c r="A67" s="54"/>
      <c r="B67" s="57"/>
      <c r="C67" s="60"/>
      <c r="D67" s="7" t="str">
        <f t="shared" si="0"/>
        <v/>
      </c>
      <c r="E67" s="63" t="str">
        <f>IF(OR(C67="",A67=""),"",IF(A67&lt;'Page de garde'!$G$7,IF(VALUE(RIGHT(C67,2))&lt;50,66,86),INDEX(EC!$C$2:$C$677,MATCH(C67,EC,0))))</f>
        <v/>
      </c>
      <c r="F67" s="33" t="str">
        <f t="shared" si="1"/>
        <v/>
      </c>
      <c r="G67" s="38"/>
      <c r="H67" s="38"/>
      <c r="I67" s="38"/>
      <c r="J67" s="36"/>
      <c r="K67" s="29"/>
      <c r="L67" s="29"/>
      <c r="M67" s="31"/>
      <c r="N67" s="40">
        <f t="shared" si="2"/>
        <v>0</v>
      </c>
      <c r="P67" s="4" t="str">
        <f t="shared" si="3"/>
        <v/>
      </c>
      <c r="Q67" s="4" t="str">
        <f t="shared" si="4"/>
        <v/>
      </c>
      <c r="R67" s="4" t="str">
        <f t="shared" si="5"/>
        <v>/</v>
      </c>
      <c r="S67" s="4" t="str">
        <f t="shared" si="6"/>
        <v/>
      </c>
    </row>
    <row r="68" spans="1:19" x14ac:dyDescent="0.35">
      <c r="A68" s="54"/>
      <c r="B68" s="57"/>
      <c r="C68" s="60"/>
      <c r="D68" s="7" t="str">
        <f t="shared" si="0"/>
        <v/>
      </c>
      <c r="E68" s="63" t="str">
        <f>IF(OR(C68="",A68=""),"",IF(A68&lt;'Page de garde'!$G$7,IF(VALUE(RIGHT(C68,2))&lt;50,66,86),INDEX(EC!$C$2:$C$677,MATCH(C68,EC,0))))</f>
        <v/>
      </c>
      <c r="F68" s="33" t="str">
        <f t="shared" si="1"/>
        <v/>
      </c>
      <c r="G68" s="38"/>
      <c r="H68" s="38"/>
      <c r="I68" s="38"/>
      <c r="J68" s="36"/>
      <c r="K68" s="29"/>
      <c r="L68" s="29"/>
      <c r="M68" s="31"/>
      <c r="N68" s="40">
        <f t="shared" si="2"/>
        <v>0</v>
      </c>
      <c r="P68" s="4" t="str">
        <f t="shared" si="3"/>
        <v/>
      </c>
      <c r="Q68" s="4" t="str">
        <f t="shared" si="4"/>
        <v/>
      </c>
      <c r="R68" s="4" t="str">
        <f t="shared" si="5"/>
        <v>/</v>
      </c>
      <c r="S68" s="4" t="str">
        <f t="shared" si="6"/>
        <v/>
      </c>
    </row>
    <row r="69" spans="1:19" x14ac:dyDescent="0.35">
      <c r="A69" s="54"/>
      <c r="B69" s="57"/>
      <c r="C69" s="60"/>
      <c r="D69" s="7" t="str">
        <f t="shared" ref="D69:D132" si="7">IF(OR(B69="",C69=""),"",CONCATENATE(B69,"/",LEFT(C69,3),"-",RIGHT(C69,2)))</f>
        <v/>
      </c>
      <c r="E69" s="63" t="str">
        <f>IF(OR(C69="",A69=""),"",IF(A69&lt;'Page de garde'!$G$7,IF(VALUE(RIGHT(C69,2))&lt;50,66,86),INDEX(EC!$C$2:$C$677,MATCH(C69,EC,0))))</f>
        <v/>
      </c>
      <c r="F69" s="33" t="str">
        <f t="shared" ref="F69:F132" si="8">IF(C69="","",INDEX(OmEC,MATCH(C69,EC,0)))</f>
        <v/>
      </c>
      <c r="G69" s="38"/>
      <c r="H69" s="38"/>
      <c r="I69" s="38"/>
      <c r="J69" s="36"/>
      <c r="K69" s="29"/>
      <c r="L69" s="29"/>
      <c r="M69" s="31"/>
      <c r="N69" s="40">
        <f t="shared" ref="N69:N132" si="9">SUM(I69:M69)</f>
        <v>0</v>
      </c>
      <c r="P69" s="4" t="str">
        <f t="shared" ref="P69:P132" si="10">LEFT(C69,3)</f>
        <v/>
      </c>
      <c r="Q69" s="4" t="str">
        <f t="shared" si="4"/>
        <v/>
      </c>
      <c r="R69" s="4" t="str">
        <f t="shared" si="5"/>
        <v>/</v>
      </c>
      <c r="S69" s="4" t="str">
        <f t="shared" si="6"/>
        <v/>
      </c>
    </row>
    <row r="70" spans="1:19" x14ac:dyDescent="0.35">
      <c r="A70" s="54"/>
      <c r="B70" s="57"/>
      <c r="C70" s="60"/>
      <c r="D70" s="7" t="str">
        <f t="shared" si="7"/>
        <v/>
      </c>
      <c r="E70" s="63" t="str">
        <f>IF(OR(C70="",A70=""),"",IF(A70&lt;'Page de garde'!$G$7,IF(VALUE(RIGHT(C70,2))&lt;50,66,86),INDEX(EC!$C$2:$C$677,MATCH(C70,EC,0))))</f>
        <v/>
      </c>
      <c r="F70" s="33" t="str">
        <f t="shared" si="8"/>
        <v/>
      </c>
      <c r="G70" s="38"/>
      <c r="H70" s="38"/>
      <c r="I70" s="38"/>
      <c r="J70" s="36"/>
      <c r="K70" s="29"/>
      <c r="L70" s="29"/>
      <c r="M70" s="31"/>
      <c r="N70" s="40">
        <f t="shared" si="9"/>
        <v>0</v>
      </c>
      <c r="P70" s="4" t="str">
        <f t="shared" si="10"/>
        <v/>
      </c>
      <c r="Q70" s="4" t="str">
        <f t="shared" ref="Q70:Q133" si="11">IF(C70="","",IF(VALUE(RIGHT(C70,2))&lt;50,"G","B"))</f>
        <v/>
      </c>
      <c r="R70" s="4" t="str">
        <f t="shared" ref="R70:R133" si="12">CONCATENATE(D70,"/",A70)</f>
        <v>/</v>
      </c>
      <c r="S70" s="4" t="str">
        <f t="shared" ref="S70:S133" si="13">IF(B70="","",LEFT(B70,3))</f>
        <v/>
      </c>
    </row>
    <row r="71" spans="1:19" x14ac:dyDescent="0.35">
      <c r="A71" s="54"/>
      <c r="B71" s="57"/>
      <c r="C71" s="60"/>
      <c r="D71" s="7" t="str">
        <f t="shared" si="7"/>
        <v/>
      </c>
      <c r="E71" s="63" t="str">
        <f>IF(OR(C71="",A71=""),"",IF(A71&lt;'Page de garde'!$G$7,IF(VALUE(RIGHT(C71,2))&lt;50,66,86),INDEX(EC!$C$2:$C$677,MATCH(C71,EC,0))))</f>
        <v/>
      </c>
      <c r="F71" s="33" t="str">
        <f t="shared" si="8"/>
        <v/>
      </c>
      <c r="G71" s="38"/>
      <c r="H71" s="38"/>
      <c r="I71" s="38"/>
      <c r="J71" s="36"/>
      <c r="K71" s="29"/>
      <c r="L71" s="29"/>
      <c r="M71" s="31"/>
      <c r="N71" s="40">
        <f t="shared" si="9"/>
        <v>0</v>
      </c>
      <c r="P71" s="4" t="str">
        <f t="shared" si="10"/>
        <v/>
      </c>
      <c r="Q71" s="4" t="str">
        <f t="shared" si="11"/>
        <v/>
      </c>
      <c r="R71" s="4" t="str">
        <f t="shared" si="12"/>
        <v>/</v>
      </c>
      <c r="S71" s="4" t="str">
        <f t="shared" si="13"/>
        <v/>
      </c>
    </row>
    <row r="72" spans="1:19" x14ac:dyDescent="0.35">
      <c r="A72" s="54"/>
      <c r="B72" s="57"/>
      <c r="C72" s="60"/>
      <c r="D72" s="7" t="str">
        <f t="shared" si="7"/>
        <v/>
      </c>
      <c r="E72" s="63" t="str">
        <f>IF(OR(C72="",A72=""),"",IF(A72&lt;'Page de garde'!$G$7,IF(VALUE(RIGHT(C72,2))&lt;50,66,86),INDEX(EC!$C$2:$C$677,MATCH(C72,EC,0))))</f>
        <v/>
      </c>
      <c r="F72" s="33" t="str">
        <f t="shared" si="8"/>
        <v/>
      </c>
      <c r="G72" s="38"/>
      <c r="H72" s="38"/>
      <c r="I72" s="38"/>
      <c r="J72" s="36"/>
      <c r="K72" s="29"/>
      <c r="L72" s="29"/>
      <c r="M72" s="31"/>
      <c r="N72" s="40">
        <f t="shared" si="9"/>
        <v>0</v>
      </c>
      <c r="P72" s="4" t="str">
        <f t="shared" si="10"/>
        <v/>
      </c>
      <c r="Q72" s="4" t="str">
        <f t="shared" si="11"/>
        <v/>
      </c>
      <c r="R72" s="4" t="str">
        <f t="shared" si="12"/>
        <v>/</v>
      </c>
      <c r="S72" s="4" t="str">
        <f t="shared" si="13"/>
        <v/>
      </c>
    </row>
    <row r="73" spans="1:19" x14ac:dyDescent="0.35">
      <c r="A73" s="54"/>
      <c r="B73" s="57"/>
      <c r="C73" s="60"/>
      <c r="D73" s="7" t="str">
        <f t="shared" si="7"/>
        <v/>
      </c>
      <c r="E73" s="63" t="str">
        <f>IF(OR(C73="",A73=""),"",IF(A73&lt;'Page de garde'!$G$7,IF(VALUE(RIGHT(C73,2))&lt;50,66,86),INDEX(EC!$C$2:$C$677,MATCH(C73,EC,0))))</f>
        <v/>
      </c>
      <c r="F73" s="33" t="str">
        <f t="shared" si="8"/>
        <v/>
      </c>
      <c r="G73" s="38"/>
      <c r="H73" s="38"/>
      <c r="I73" s="38"/>
      <c r="J73" s="36"/>
      <c r="K73" s="29"/>
      <c r="L73" s="29"/>
      <c r="M73" s="31"/>
      <c r="N73" s="40">
        <f t="shared" si="9"/>
        <v>0</v>
      </c>
      <c r="P73" s="4" t="str">
        <f t="shared" si="10"/>
        <v/>
      </c>
      <c r="Q73" s="4" t="str">
        <f t="shared" si="11"/>
        <v/>
      </c>
      <c r="R73" s="4" t="str">
        <f t="shared" si="12"/>
        <v>/</v>
      </c>
      <c r="S73" s="4" t="str">
        <f t="shared" si="13"/>
        <v/>
      </c>
    </row>
    <row r="74" spans="1:19" x14ac:dyDescent="0.35">
      <c r="A74" s="54"/>
      <c r="B74" s="57"/>
      <c r="C74" s="60"/>
      <c r="D74" s="7" t="str">
        <f t="shared" si="7"/>
        <v/>
      </c>
      <c r="E74" s="63" t="str">
        <f>IF(OR(C74="",A74=""),"",IF(A74&lt;'Page de garde'!$G$7,IF(VALUE(RIGHT(C74,2))&lt;50,66,86),INDEX(EC!$C$2:$C$677,MATCH(C74,EC,0))))</f>
        <v/>
      </c>
      <c r="F74" s="33" t="str">
        <f t="shared" si="8"/>
        <v/>
      </c>
      <c r="G74" s="38"/>
      <c r="H74" s="38"/>
      <c r="I74" s="38"/>
      <c r="J74" s="36"/>
      <c r="K74" s="29"/>
      <c r="L74" s="29"/>
      <c r="M74" s="31"/>
      <c r="N74" s="40">
        <f t="shared" si="9"/>
        <v>0</v>
      </c>
      <c r="P74" s="4" t="str">
        <f t="shared" si="10"/>
        <v/>
      </c>
      <c r="Q74" s="4" t="str">
        <f t="shared" si="11"/>
        <v/>
      </c>
      <c r="R74" s="4" t="str">
        <f t="shared" si="12"/>
        <v>/</v>
      </c>
      <c r="S74" s="4" t="str">
        <f t="shared" si="13"/>
        <v/>
      </c>
    </row>
    <row r="75" spans="1:19" x14ac:dyDescent="0.35">
      <c r="A75" s="54"/>
      <c r="B75" s="57"/>
      <c r="C75" s="60"/>
      <c r="D75" s="7" t="str">
        <f t="shared" si="7"/>
        <v/>
      </c>
      <c r="E75" s="63" t="str">
        <f>IF(OR(C75="",A75=""),"",IF(A75&lt;'Page de garde'!$G$7,IF(VALUE(RIGHT(C75,2))&lt;50,66,86),INDEX(EC!$C$2:$C$677,MATCH(C75,EC,0))))</f>
        <v/>
      </c>
      <c r="F75" s="33" t="str">
        <f t="shared" si="8"/>
        <v/>
      </c>
      <c r="G75" s="38"/>
      <c r="H75" s="38"/>
      <c r="I75" s="38"/>
      <c r="J75" s="36"/>
      <c r="K75" s="29"/>
      <c r="L75" s="29"/>
      <c r="M75" s="31"/>
      <c r="N75" s="40">
        <f t="shared" si="9"/>
        <v>0</v>
      </c>
      <c r="P75" s="4" t="str">
        <f t="shared" si="10"/>
        <v/>
      </c>
      <c r="Q75" s="4" t="str">
        <f t="shared" si="11"/>
        <v/>
      </c>
      <c r="R75" s="4" t="str">
        <f t="shared" si="12"/>
        <v>/</v>
      </c>
      <c r="S75" s="4" t="str">
        <f t="shared" si="13"/>
        <v/>
      </c>
    </row>
    <row r="76" spans="1:19" x14ac:dyDescent="0.35">
      <c r="A76" s="54"/>
      <c r="B76" s="57"/>
      <c r="C76" s="60"/>
      <c r="D76" s="7" t="str">
        <f t="shared" si="7"/>
        <v/>
      </c>
      <c r="E76" s="63" t="str">
        <f>IF(OR(C76="",A76=""),"",IF(A76&lt;'Page de garde'!$G$7,IF(VALUE(RIGHT(C76,2))&lt;50,66,86),INDEX(EC!$C$2:$C$677,MATCH(C76,EC,0))))</f>
        <v/>
      </c>
      <c r="F76" s="33" t="str">
        <f t="shared" si="8"/>
        <v/>
      </c>
      <c r="G76" s="38"/>
      <c r="H76" s="38"/>
      <c r="I76" s="38"/>
      <c r="J76" s="36"/>
      <c r="K76" s="29"/>
      <c r="L76" s="29"/>
      <c r="M76" s="31"/>
      <c r="N76" s="40">
        <f t="shared" si="9"/>
        <v>0</v>
      </c>
      <c r="P76" s="4" t="str">
        <f t="shared" si="10"/>
        <v/>
      </c>
      <c r="Q76" s="4" t="str">
        <f t="shared" si="11"/>
        <v/>
      </c>
      <c r="R76" s="4" t="str">
        <f t="shared" si="12"/>
        <v>/</v>
      </c>
      <c r="S76" s="4" t="str">
        <f t="shared" si="13"/>
        <v/>
      </c>
    </row>
    <row r="77" spans="1:19" x14ac:dyDescent="0.35">
      <c r="A77" s="54"/>
      <c r="B77" s="57"/>
      <c r="C77" s="60"/>
      <c r="D77" s="7" t="str">
        <f t="shared" si="7"/>
        <v/>
      </c>
      <c r="E77" s="63" t="str">
        <f>IF(OR(C77="",A77=""),"",IF(A77&lt;'Page de garde'!$G$7,IF(VALUE(RIGHT(C77,2))&lt;50,66,86),INDEX(EC!$C$2:$C$677,MATCH(C77,EC,0))))</f>
        <v/>
      </c>
      <c r="F77" s="33" t="str">
        <f t="shared" si="8"/>
        <v/>
      </c>
      <c r="G77" s="38"/>
      <c r="H77" s="38"/>
      <c r="I77" s="38"/>
      <c r="J77" s="36"/>
      <c r="K77" s="29"/>
      <c r="L77" s="29"/>
      <c r="M77" s="31"/>
      <c r="N77" s="40">
        <f t="shared" si="9"/>
        <v>0</v>
      </c>
      <c r="P77" s="4" t="str">
        <f t="shared" si="10"/>
        <v/>
      </c>
      <c r="Q77" s="4" t="str">
        <f t="shared" si="11"/>
        <v/>
      </c>
      <c r="R77" s="4" t="str">
        <f t="shared" si="12"/>
        <v>/</v>
      </c>
      <c r="S77" s="4" t="str">
        <f t="shared" si="13"/>
        <v/>
      </c>
    </row>
    <row r="78" spans="1:19" x14ac:dyDescent="0.35">
      <c r="A78" s="54"/>
      <c r="B78" s="57"/>
      <c r="C78" s="60"/>
      <c r="D78" s="7" t="str">
        <f t="shared" si="7"/>
        <v/>
      </c>
      <c r="E78" s="63" t="str">
        <f>IF(OR(C78="",A78=""),"",IF(A78&lt;'Page de garde'!$G$7,IF(VALUE(RIGHT(C78,2))&lt;50,66,86),INDEX(EC!$C$2:$C$677,MATCH(C78,EC,0))))</f>
        <v/>
      </c>
      <c r="F78" s="33" t="str">
        <f t="shared" si="8"/>
        <v/>
      </c>
      <c r="G78" s="38"/>
      <c r="H78" s="38"/>
      <c r="I78" s="38"/>
      <c r="J78" s="36"/>
      <c r="K78" s="29"/>
      <c r="L78" s="29"/>
      <c r="M78" s="31"/>
      <c r="N78" s="40">
        <f t="shared" si="9"/>
        <v>0</v>
      </c>
      <c r="P78" s="4" t="str">
        <f t="shared" si="10"/>
        <v/>
      </c>
      <c r="Q78" s="4" t="str">
        <f t="shared" si="11"/>
        <v/>
      </c>
      <c r="R78" s="4" t="str">
        <f t="shared" si="12"/>
        <v>/</v>
      </c>
      <c r="S78" s="4" t="str">
        <f t="shared" si="13"/>
        <v/>
      </c>
    </row>
    <row r="79" spans="1:19" x14ac:dyDescent="0.35">
      <c r="A79" s="54"/>
      <c r="B79" s="57"/>
      <c r="C79" s="60"/>
      <c r="D79" s="7" t="str">
        <f t="shared" si="7"/>
        <v/>
      </c>
      <c r="E79" s="63" t="str">
        <f>IF(OR(C79="",A79=""),"",IF(A79&lt;'Page de garde'!$G$7,IF(VALUE(RIGHT(C79,2))&lt;50,66,86),INDEX(EC!$C$2:$C$677,MATCH(C79,EC,0))))</f>
        <v/>
      </c>
      <c r="F79" s="33" t="str">
        <f t="shared" si="8"/>
        <v/>
      </c>
      <c r="G79" s="38"/>
      <c r="H79" s="38"/>
      <c r="I79" s="38"/>
      <c r="J79" s="36"/>
      <c r="K79" s="29"/>
      <c r="L79" s="29"/>
      <c r="M79" s="31"/>
      <c r="N79" s="40">
        <f t="shared" si="9"/>
        <v>0</v>
      </c>
      <c r="P79" s="4" t="str">
        <f t="shared" si="10"/>
        <v/>
      </c>
      <c r="Q79" s="4" t="str">
        <f t="shared" si="11"/>
        <v/>
      </c>
      <c r="R79" s="4" t="str">
        <f t="shared" si="12"/>
        <v>/</v>
      </c>
      <c r="S79" s="4" t="str">
        <f t="shared" si="13"/>
        <v/>
      </c>
    </row>
    <row r="80" spans="1:19" x14ac:dyDescent="0.35">
      <c r="A80" s="54"/>
      <c r="B80" s="57"/>
      <c r="C80" s="60"/>
      <c r="D80" s="7" t="str">
        <f t="shared" si="7"/>
        <v/>
      </c>
      <c r="E80" s="63" t="str">
        <f>IF(OR(C80="",A80=""),"",IF(A80&lt;'Page de garde'!$G$7,IF(VALUE(RIGHT(C80,2))&lt;50,66,86),INDEX(EC!$C$2:$C$677,MATCH(C80,EC,0))))</f>
        <v/>
      </c>
      <c r="F80" s="33" t="str">
        <f t="shared" si="8"/>
        <v/>
      </c>
      <c r="G80" s="38"/>
      <c r="H80" s="38"/>
      <c r="I80" s="38"/>
      <c r="J80" s="36"/>
      <c r="K80" s="29"/>
      <c r="L80" s="29"/>
      <c r="M80" s="31"/>
      <c r="N80" s="40">
        <f t="shared" si="9"/>
        <v>0</v>
      </c>
      <c r="P80" s="4" t="str">
        <f t="shared" si="10"/>
        <v/>
      </c>
      <c r="Q80" s="4" t="str">
        <f t="shared" si="11"/>
        <v/>
      </c>
      <c r="R80" s="4" t="str">
        <f t="shared" si="12"/>
        <v>/</v>
      </c>
      <c r="S80" s="4" t="str">
        <f t="shared" si="13"/>
        <v/>
      </c>
    </row>
    <row r="81" spans="1:19" x14ac:dyDescent="0.35">
      <c r="A81" s="54"/>
      <c r="B81" s="57"/>
      <c r="C81" s="60"/>
      <c r="D81" s="7" t="str">
        <f t="shared" si="7"/>
        <v/>
      </c>
      <c r="E81" s="63" t="str">
        <f>IF(OR(C81="",A81=""),"",IF(A81&lt;'Page de garde'!$G$7,IF(VALUE(RIGHT(C81,2))&lt;50,66,86),INDEX(EC!$C$2:$C$677,MATCH(C81,EC,0))))</f>
        <v/>
      </c>
      <c r="F81" s="33" t="str">
        <f t="shared" si="8"/>
        <v/>
      </c>
      <c r="G81" s="38"/>
      <c r="H81" s="38"/>
      <c r="I81" s="38"/>
      <c r="J81" s="36"/>
      <c r="K81" s="29"/>
      <c r="L81" s="29"/>
      <c r="M81" s="31"/>
      <c r="N81" s="40">
        <f t="shared" si="9"/>
        <v>0</v>
      </c>
      <c r="P81" s="4" t="str">
        <f t="shared" si="10"/>
        <v/>
      </c>
      <c r="Q81" s="4" t="str">
        <f t="shared" si="11"/>
        <v/>
      </c>
      <c r="R81" s="4" t="str">
        <f t="shared" si="12"/>
        <v>/</v>
      </c>
      <c r="S81" s="4" t="str">
        <f t="shared" si="13"/>
        <v/>
      </c>
    </row>
    <row r="82" spans="1:19" x14ac:dyDescent="0.35">
      <c r="A82" s="54"/>
      <c r="B82" s="57"/>
      <c r="C82" s="60"/>
      <c r="D82" s="7" t="str">
        <f t="shared" si="7"/>
        <v/>
      </c>
      <c r="E82" s="63" t="str">
        <f>IF(OR(C82="",A82=""),"",IF(A82&lt;'Page de garde'!$G$7,IF(VALUE(RIGHT(C82,2))&lt;50,66,86),INDEX(EC!$C$2:$C$677,MATCH(C82,EC,0))))</f>
        <v/>
      </c>
      <c r="F82" s="33" t="str">
        <f t="shared" si="8"/>
        <v/>
      </c>
      <c r="G82" s="38"/>
      <c r="H82" s="38"/>
      <c r="I82" s="38"/>
      <c r="J82" s="36"/>
      <c r="K82" s="29"/>
      <c r="L82" s="29"/>
      <c r="M82" s="31"/>
      <c r="N82" s="40">
        <f t="shared" si="9"/>
        <v>0</v>
      </c>
      <c r="P82" s="4" t="str">
        <f t="shared" si="10"/>
        <v/>
      </c>
      <c r="Q82" s="4" t="str">
        <f t="shared" si="11"/>
        <v/>
      </c>
      <c r="R82" s="4" t="str">
        <f t="shared" si="12"/>
        <v>/</v>
      </c>
      <c r="S82" s="4" t="str">
        <f t="shared" si="13"/>
        <v/>
      </c>
    </row>
    <row r="83" spans="1:19" x14ac:dyDescent="0.35">
      <c r="A83" s="54"/>
      <c r="B83" s="57"/>
      <c r="C83" s="60"/>
      <c r="D83" s="7" t="str">
        <f t="shared" si="7"/>
        <v/>
      </c>
      <c r="E83" s="63" t="str">
        <f>IF(OR(C83="",A83=""),"",IF(A83&lt;'Page de garde'!$G$7,IF(VALUE(RIGHT(C83,2))&lt;50,66,86),INDEX(EC!$C$2:$C$677,MATCH(C83,EC,0))))</f>
        <v/>
      </c>
      <c r="F83" s="33" t="str">
        <f t="shared" si="8"/>
        <v/>
      </c>
      <c r="G83" s="38"/>
      <c r="H83" s="38"/>
      <c r="I83" s="38"/>
      <c r="J83" s="36"/>
      <c r="K83" s="29"/>
      <c r="L83" s="29"/>
      <c r="M83" s="31"/>
      <c r="N83" s="40">
        <f t="shared" si="9"/>
        <v>0</v>
      </c>
      <c r="P83" s="4" t="str">
        <f t="shared" si="10"/>
        <v/>
      </c>
      <c r="Q83" s="4" t="str">
        <f t="shared" si="11"/>
        <v/>
      </c>
      <c r="R83" s="4" t="str">
        <f t="shared" si="12"/>
        <v>/</v>
      </c>
      <c r="S83" s="4" t="str">
        <f t="shared" si="13"/>
        <v/>
      </c>
    </row>
    <row r="84" spans="1:19" x14ac:dyDescent="0.35">
      <c r="A84" s="54"/>
      <c r="B84" s="57"/>
      <c r="C84" s="60"/>
      <c r="D84" s="7" t="str">
        <f t="shared" si="7"/>
        <v/>
      </c>
      <c r="E84" s="63" t="str">
        <f>IF(OR(C84="",A84=""),"",IF(A84&lt;'Page de garde'!$G$7,IF(VALUE(RIGHT(C84,2))&lt;50,66,86),INDEX(EC!$C$2:$C$677,MATCH(C84,EC,0))))</f>
        <v/>
      </c>
      <c r="F84" s="33" t="str">
        <f t="shared" si="8"/>
        <v/>
      </c>
      <c r="G84" s="38"/>
      <c r="H84" s="38"/>
      <c r="I84" s="38"/>
      <c r="J84" s="36"/>
      <c r="K84" s="29"/>
      <c r="L84" s="29"/>
      <c r="M84" s="31"/>
      <c r="N84" s="40">
        <f t="shared" si="9"/>
        <v>0</v>
      </c>
      <c r="P84" s="4" t="str">
        <f t="shared" si="10"/>
        <v/>
      </c>
      <c r="Q84" s="4" t="str">
        <f t="shared" si="11"/>
        <v/>
      </c>
      <c r="R84" s="4" t="str">
        <f t="shared" si="12"/>
        <v>/</v>
      </c>
      <c r="S84" s="4" t="str">
        <f t="shared" si="13"/>
        <v/>
      </c>
    </row>
    <row r="85" spans="1:19" x14ac:dyDescent="0.35">
      <c r="A85" s="54"/>
      <c r="B85" s="57"/>
      <c r="C85" s="60"/>
      <c r="D85" s="7" t="str">
        <f t="shared" si="7"/>
        <v/>
      </c>
      <c r="E85" s="63" t="str">
        <f>IF(OR(C85="",A85=""),"",IF(A85&lt;'Page de garde'!$G$7,IF(VALUE(RIGHT(C85,2))&lt;50,66,86),INDEX(EC!$C$2:$C$677,MATCH(C85,EC,0))))</f>
        <v/>
      </c>
      <c r="F85" s="33" t="str">
        <f t="shared" si="8"/>
        <v/>
      </c>
      <c r="G85" s="38"/>
      <c r="H85" s="38"/>
      <c r="I85" s="38"/>
      <c r="J85" s="36"/>
      <c r="K85" s="29"/>
      <c r="L85" s="29"/>
      <c r="M85" s="31"/>
      <c r="N85" s="40">
        <f t="shared" si="9"/>
        <v>0</v>
      </c>
      <c r="P85" s="4" t="str">
        <f t="shared" si="10"/>
        <v/>
      </c>
      <c r="Q85" s="4" t="str">
        <f t="shared" si="11"/>
        <v/>
      </c>
      <c r="R85" s="4" t="str">
        <f t="shared" si="12"/>
        <v>/</v>
      </c>
      <c r="S85" s="4" t="str">
        <f t="shared" si="13"/>
        <v/>
      </c>
    </row>
    <row r="86" spans="1:19" x14ac:dyDescent="0.35">
      <c r="A86" s="54"/>
      <c r="B86" s="57"/>
      <c r="C86" s="60"/>
      <c r="D86" s="7" t="str">
        <f t="shared" si="7"/>
        <v/>
      </c>
      <c r="E86" s="63" t="str">
        <f>IF(OR(C86="",A86=""),"",IF(A86&lt;'Page de garde'!$G$7,IF(VALUE(RIGHT(C86,2))&lt;50,66,86),INDEX(EC!$C$2:$C$677,MATCH(C86,EC,0))))</f>
        <v/>
      </c>
      <c r="F86" s="33" t="str">
        <f t="shared" si="8"/>
        <v/>
      </c>
      <c r="G86" s="38"/>
      <c r="H86" s="38"/>
      <c r="I86" s="38"/>
      <c r="J86" s="36"/>
      <c r="K86" s="29"/>
      <c r="L86" s="29"/>
      <c r="M86" s="31"/>
      <c r="N86" s="40">
        <f t="shared" si="9"/>
        <v>0</v>
      </c>
      <c r="P86" s="4" t="str">
        <f t="shared" si="10"/>
        <v/>
      </c>
      <c r="Q86" s="4" t="str">
        <f t="shared" si="11"/>
        <v/>
      </c>
      <c r="R86" s="4" t="str">
        <f t="shared" si="12"/>
        <v>/</v>
      </c>
      <c r="S86" s="4" t="str">
        <f t="shared" si="13"/>
        <v/>
      </c>
    </row>
    <row r="87" spans="1:19" x14ac:dyDescent="0.35">
      <c r="A87" s="54"/>
      <c r="B87" s="57"/>
      <c r="C87" s="60"/>
      <c r="D87" s="7" t="str">
        <f t="shared" si="7"/>
        <v/>
      </c>
      <c r="E87" s="63" t="str">
        <f>IF(OR(C87="",A87=""),"",IF(A87&lt;'Page de garde'!$G$7,IF(VALUE(RIGHT(C87,2))&lt;50,66,86),INDEX(EC!$C$2:$C$677,MATCH(C87,EC,0))))</f>
        <v/>
      </c>
      <c r="F87" s="33" t="str">
        <f t="shared" si="8"/>
        <v/>
      </c>
      <c r="G87" s="38"/>
      <c r="H87" s="38"/>
      <c r="I87" s="38"/>
      <c r="J87" s="36"/>
      <c r="K87" s="29"/>
      <c r="L87" s="29"/>
      <c r="M87" s="31"/>
      <c r="N87" s="40">
        <f t="shared" si="9"/>
        <v>0</v>
      </c>
      <c r="P87" s="4" t="str">
        <f t="shared" si="10"/>
        <v/>
      </c>
      <c r="Q87" s="4" t="str">
        <f t="shared" si="11"/>
        <v/>
      </c>
      <c r="R87" s="4" t="str">
        <f t="shared" si="12"/>
        <v>/</v>
      </c>
      <c r="S87" s="4" t="str">
        <f t="shared" si="13"/>
        <v/>
      </c>
    </row>
    <row r="88" spans="1:19" x14ac:dyDescent="0.35">
      <c r="A88" s="54"/>
      <c r="B88" s="57"/>
      <c r="C88" s="60"/>
      <c r="D88" s="7" t="str">
        <f t="shared" si="7"/>
        <v/>
      </c>
      <c r="E88" s="63" t="str">
        <f>IF(OR(C88="",A88=""),"",IF(A88&lt;'Page de garde'!$G$7,IF(VALUE(RIGHT(C88,2))&lt;50,66,86),INDEX(EC!$C$2:$C$677,MATCH(C88,EC,0))))</f>
        <v/>
      </c>
      <c r="F88" s="33" t="str">
        <f t="shared" si="8"/>
        <v/>
      </c>
      <c r="G88" s="38"/>
      <c r="H88" s="38"/>
      <c r="I88" s="38"/>
      <c r="J88" s="36"/>
      <c r="K88" s="29"/>
      <c r="L88" s="29"/>
      <c r="M88" s="31"/>
      <c r="N88" s="40">
        <f t="shared" si="9"/>
        <v>0</v>
      </c>
      <c r="P88" s="4" t="str">
        <f t="shared" si="10"/>
        <v/>
      </c>
      <c r="Q88" s="4" t="str">
        <f t="shared" si="11"/>
        <v/>
      </c>
      <c r="R88" s="4" t="str">
        <f t="shared" si="12"/>
        <v>/</v>
      </c>
      <c r="S88" s="4" t="str">
        <f t="shared" si="13"/>
        <v/>
      </c>
    </row>
    <row r="89" spans="1:19" x14ac:dyDescent="0.35">
      <c r="A89" s="54"/>
      <c r="B89" s="57"/>
      <c r="C89" s="60"/>
      <c r="D89" s="7" t="str">
        <f t="shared" si="7"/>
        <v/>
      </c>
      <c r="E89" s="63" t="str">
        <f>IF(OR(C89="",A89=""),"",IF(A89&lt;'Page de garde'!$G$7,IF(VALUE(RIGHT(C89,2))&lt;50,66,86),INDEX(EC!$C$2:$C$677,MATCH(C89,EC,0))))</f>
        <v/>
      </c>
      <c r="F89" s="33" t="str">
        <f t="shared" si="8"/>
        <v/>
      </c>
      <c r="G89" s="38"/>
      <c r="H89" s="38"/>
      <c r="I89" s="38"/>
      <c r="J89" s="36"/>
      <c r="K89" s="29"/>
      <c r="L89" s="29"/>
      <c r="M89" s="31"/>
      <c r="N89" s="40">
        <f t="shared" si="9"/>
        <v>0</v>
      </c>
      <c r="P89" s="4" t="str">
        <f t="shared" si="10"/>
        <v/>
      </c>
      <c r="Q89" s="4" t="str">
        <f t="shared" si="11"/>
        <v/>
      </c>
      <c r="R89" s="4" t="str">
        <f t="shared" si="12"/>
        <v>/</v>
      </c>
      <c r="S89" s="4" t="str">
        <f t="shared" si="13"/>
        <v/>
      </c>
    </row>
    <row r="90" spans="1:19" x14ac:dyDescent="0.35">
      <c r="A90" s="54"/>
      <c r="B90" s="57"/>
      <c r="C90" s="60"/>
      <c r="D90" s="7" t="str">
        <f t="shared" si="7"/>
        <v/>
      </c>
      <c r="E90" s="63" t="str">
        <f>IF(OR(C90="",A90=""),"",IF(A90&lt;'Page de garde'!$G$7,IF(VALUE(RIGHT(C90,2))&lt;50,66,86),INDEX(EC!$C$2:$C$677,MATCH(C90,EC,0))))</f>
        <v/>
      </c>
      <c r="F90" s="33" t="str">
        <f t="shared" si="8"/>
        <v/>
      </c>
      <c r="G90" s="38"/>
      <c r="H90" s="38"/>
      <c r="I90" s="38"/>
      <c r="J90" s="36"/>
      <c r="K90" s="29"/>
      <c r="L90" s="29"/>
      <c r="M90" s="31"/>
      <c r="N90" s="40">
        <f t="shared" si="9"/>
        <v>0</v>
      </c>
      <c r="P90" s="4" t="str">
        <f t="shared" si="10"/>
        <v/>
      </c>
      <c r="Q90" s="4" t="str">
        <f t="shared" si="11"/>
        <v/>
      </c>
      <c r="R90" s="4" t="str">
        <f t="shared" si="12"/>
        <v>/</v>
      </c>
      <c r="S90" s="4" t="str">
        <f t="shared" si="13"/>
        <v/>
      </c>
    </row>
    <row r="91" spans="1:19" x14ac:dyDescent="0.35">
      <c r="A91" s="54"/>
      <c r="B91" s="57"/>
      <c r="C91" s="60"/>
      <c r="D91" s="7" t="str">
        <f t="shared" si="7"/>
        <v/>
      </c>
      <c r="E91" s="63" t="str">
        <f>IF(OR(C91="",A91=""),"",IF(A91&lt;'Page de garde'!$G$7,IF(VALUE(RIGHT(C91,2))&lt;50,66,86),INDEX(EC!$C$2:$C$677,MATCH(C91,EC,0))))</f>
        <v/>
      </c>
      <c r="F91" s="33" t="str">
        <f t="shared" si="8"/>
        <v/>
      </c>
      <c r="G91" s="38"/>
      <c r="H91" s="38"/>
      <c r="I91" s="38"/>
      <c r="J91" s="36"/>
      <c r="K91" s="29"/>
      <c r="L91" s="29"/>
      <c r="M91" s="31"/>
      <c r="N91" s="40">
        <f t="shared" si="9"/>
        <v>0</v>
      </c>
      <c r="P91" s="4" t="str">
        <f t="shared" si="10"/>
        <v/>
      </c>
      <c r="Q91" s="4" t="str">
        <f t="shared" si="11"/>
        <v/>
      </c>
      <c r="R91" s="4" t="str">
        <f t="shared" si="12"/>
        <v>/</v>
      </c>
      <c r="S91" s="4" t="str">
        <f t="shared" si="13"/>
        <v/>
      </c>
    </row>
    <row r="92" spans="1:19" x14ac:dyDescent="0.35">
      <c r="A92" s="54"/>
      <c r="B92" s="57"/>
      <c r="C92" s="60"/>
      <c r="D92" s="7" t="str">
        <f t="shared" si="7"/>
        <v/>
      </c>
      <c r="E92" s="63" t="str">
        <f>IF(OR(C92="",A92=""),"",IF(A92&lt;'Page de garde'!$G$7,IF(VALUE(RIGHT(C92,2))&lt;50,66,86),INDEX(EC!$C$2:$C$677,MATCH(C92,EC,0))))</f>
        <v/>
      </c>
      <c r="F92" s="33" t="str">
        <f t="shared" si="8"/>
        <v/>
      </c>
      <c r="G92" s="38"/>
      <c r="H92" s="38"/>
      <c r="I92" s="38"/>
      <c r="J92" s="36"/>
      <c r="K92" s="29"/>
      <c r="L92" s="29"/>
      <c r="M92" s="31"/>
      <c r="N92" s="40">
        <f t="shared" si="9"/>
        <v>0</v>
      </c>
      <c r="P92" s="4" t="str">
        <f t="shared" si="10"/>
        <v/>
      </c>
      <c r="Q92" s="4" t="str">
        <f t="shared" si="11"/>
        <v/>
      </c>
      <c r="R92" s="4" t="str">
        <f t="shared" si="12"/>
        <v>/</v>
      </c>
      <c r="S92" s="4" t="str">
        <f t="shared" si="13"/>
        <v/>
      </c>
    </row>
    <row r="93" spans="1:19" x14ac:dyDescent="0.35">
      <c r="A93" s="54"/>
      <c r="B93" s="57"/>
      <c r="C93" s="60"/>
      <c r="D93" s="7" t="str">
        <f t="shared" si="7"/>
        <v/>
      </c>
      <c r="E93" s="63" t="str">
        <f>IF(OR(C93="",A93=""),"",IF(A93&lt;'Page de garde'!$G$7,IF(VALUE(RIGHT(C93,2))&lt;50,66,86),INDEX(EC!$C$2:$C$677,MATCH(C93,EC,0))))</f>
        <v/>
      </c>
      <c r="F93" s="33" t="str">
        <f t="shared" si="8"/>
        <v/>
      </c>
      <c r="G93" s="38"/>
      <c r="H93" s="38"/>
      <c r="I93" s="38"/>
      <c r="J93" s="36"/>
      <c r="K93" s="29"/>
      <c r="L93" s="29"/>
      <c r="M93" s="31"/>
      <c r="N93" s="40">
        <f t="shared" si="9"/>
        <v>0</v>
      </c>
      <c r="P93" s="4" t="str">
        <f t="shared" si="10"/>
        <v/>
      </c>
      <c r="Q93" s="4" t="str">
        <f t="shared" si="11"/>
        <v/>
      </c>
      <c r="R93" s="4" t="str">
        <f t="shared" si="12"/>
        <v>/</v>
      </c>
      <c r="S93" s="4" t="str">
        <f t="shared" si="13"/>
        <v/>
      </c>
    </row>
    <row r="94" spans="1:19" x14ac:dyDescent="0.35">
      <c r="A94" s="54"/>
      <c r="B94" s="57"/>
      <c r="C94" s="60"/>
      <c r="D94" s="7" t="str">
        <f t="shared" si="7"/>
        <v/>
      </c>
      <c r="E94" s="63" t="str">
        <f>IF(OR(C94="",A94=""),"",IF(A94&lt;'Page de garde'!$G$7,IF(VALUE(RIGHT(C94,2))&lt;50,66,86),INDEX(EC!$C$2:$C$677,MATCH(C94,EC,0))))</f>
        <v/>
      </c>
      <c r="F94" s="33" t="str">
        <f t="shared" si="8"/>
        <v/>
      </c>
      <c r="G94" s="38"/>
      <c r="H94" s="38"/>
      <c r="I94" s="38"/>
      <c r="J94" s="36"/>
      <c r="K94" s="29"/>
      <c r="L94" s="29"/>
      <c r="M94" s="31"/>
      <c r="N94" s="40">
        <f t="shared" si="9"/>
        <v>0</v>
      </c>
      <c r="P94" s="4" t="str">
        <f t="shared" si="10"/>
        <v/>
      </c>
      <c r="Q94" s="4" t="str">
        <f t="shared" si="11"/>
        <v/>
      </c>
      <c r="R94" s="4" t="str">
        <f t="shared" si="12"/>
        <v>/</v>
      </c>
      <c r="S94" s="4" t="str">
        <f t="shared" si="13"/>
        <v/>
      </c>
    </row>
    <row r="95" spans="1:19" x14ac:dyDescent="0.35">
      <c r="A95" s="54"/>
      <c r="B95" s="57"/>
      <c r="C95" s="60"/>
      <c r="D95" s="7" t="str">
        <f t="shared" si="7"/>
        <v/>
      </c>
      <c r="E95" s="63" t="str">
        <f>IF(OR(C95="",A95=""),"",IF(A95&lt;'Page de garde'!$G$7,IF(VALUE(RIGHT(C95,2))&lt;50,66,86),INDEX(EC!$C$2:$C$677,MATCH(C95,EC,0))))</f>
        <v/>
      </c>
      <c r="F95" s="33" t="str">
        <f t="shared" si="8"/>
        <v/>
      </c>
      <c r="G95" s="38"/>
      <c r="H95" s="38"/>
      <c r="I95" s="38"/>
      <c r="J95" s="36"/>
      <c r="K95" s="29"/>
      <c r="L95" s="29"/>
      <c r="M95" s="31"/>
      <c r="N95" s="40">
        <f t="shared" si="9"/>
        <v>0</v>
      </c>
      <c r="P95" s="4" t="str">
        <f t="shared" si="10"/>
        <v/>
      </c>
      <c r="Q95" s="4" t="str">
        <f t="shared" si="11"/>
        <v/>
      </c>
      <c r="R95" s="4" t="str">
        <f t="shared" si="12"/>
        <v>/</v>
      </c>
      <c r="S95" s="4" t="str">
        <f t="shared" si="13"/>
        <v/>
      </c>
    </row>
    <row r="96" spans="1:19" x14ac:dyDescent="0.35">
      <c r="A96" s="54"/>
      <c r="B96" s="57"/>
      <c r="C96" s="60"/>
      <c r="D96" s="7" t="str">
        <f t="shared" si="7"/>
        <v/>
      </c>
      <c r="E96" s="63" t="str">
        <f>IF(OR(C96="",A96=""),"",IF(A96&lt;'Page de garde'!$G$7,IF(VALUE(RIGHT(C96,2))&lt;50,66,86),INDEX(EC!$C$2:$C$677,MATCH(C96,EC,0))))</f>
        <v/>
      </c>
      <c r="F96" s="33" t="str">
        <f t="shared" si="8"/>
        <v/>
      </c>
      <c r="G96" s="38"/>
      <c r="H96" s="38"/>
      <c r="I96" s="38"/>
      <c r="J96" s="36"/>
      <c r="K96" s="29"/>
      <c r="L96" s="29"/>
      <c r="M96" s="31"/>
      <c r="N96" s="40">
        <f t="shared" si="9"/>
        <v>0</v>
      </c>
      <c r="P96" s="4" t="str">
        <f t="shared" si="10"/>
        <v/>
      </c>
      <c r="Q96" s="4" t="str">
        <f t="shared" si="11"/>
        <v/>
      </c>
      <c r="R96" s="4" t="str">
        <f t="shared" si="12"/>
        <v>/</v>
      </c>
      <c r="S96" s="4" t="str">
        <f t="shared" si="13"/>
        <v/>
      </c>
    </row>
    <row r="97" spans="1:19" x14ac:dyDescent="0.35">
      <c r="A97" s="54"/>
      <c r="B97" s="57"/>
      <c r="C97" s="60"/>
      <c r="D97" s="7" t="str">
        <f t="shared" si="7"/>
        <v/>
      </c>
      <c r="E97" s="63" t="str">
        <f>IF(OR(C97="",A97=""),"",IF(A97&lt;'Page de garde'!$G$7,IF(VALUE(RIGHT(C97,2))&lt;50,66,86),INDEX(EC!$C$2:$C$677,MATCH(C97,EC,0))))</f>
        <v/>
      </c>
      <c r="F97" s="33" t="str">
        <f t="shared" si="8"/>
        <v/>
      </c>
      <c r="G97" s="38"/>
      <c r="H97" s="38"/>
      <c r="I97" s="38"/>
      <c r="J97" s="36"/>
      <c r="K97" s="29"/>
      <c r="L97" s="29"/>
      <c r="M97" s="31"/>
      <c r="N97" s="40">
        <f t="shared" si="9"/>
        <v>0</v>
      </c>
      <c r="P97" s="4" t="str">
        <f t="shared" si="10"/>
        <v/>
      </c>
      <c r="Q97" s="4" t="str">
        <f t="shared" si="11"/>
        <v/>
      </c>
      <c r="R97" s="4" t="str">
        <f t="shared" si="12"/>
        <v>/</v>
      </c>
      <c r="S97" s="4" t="str">
        <f t="shared" si="13"/>
        <v/>
      </c>
    </row>
    <row r="98" spans="1:19" x14ac:dyDescent="0.35">
      <c r="A98" s="54"/>
      <c r="B98" s="57"/>
      <c r="C98" s="60"/>
      <c r="D98" s="7" t="str">
        <f t="shared" si="7"/>
        <v/>
      </c>
      <c r="E98" s="63" t="str">
        <f>IF(OR(C98="",A98=""),"",IF(A98&lt;'Page de garde'!$G$7,IF(VALUE(RIGHT(C98,2))&lt;50,66,86),INDEX(EC!$C$2:$C$677,MATCH(C98,EC,0))))</f>
        <v/>
      </c>
      <c r="F98" s="33" t="str">
        <f t="shared" si="8"/>
        <v/>
      </c>
      <c r="G98" s="38"/>
      <c r="H98" s="38"/>
      <c r="I98" s="38"/>
      <c r="J98" s="36"/>
      <c r="K98" s="29"/>
      <c r="L98" s="29"/>
      <c r="M98" s="31"/>
      <c r="N98" s="40">
        <f t="shared" si="9"/>
        <v>0</v>
      </c>
      <c r="P98" s="4" t="str">
        <f t="shared" si="10"/>
        <v/>
      </c>
      <c r="Q98" s="4" t="str">
        <f t="shared" si="11"/>
        <v/>
      </c>
      <c r="R98" s="4" t="str">
        <f t="shared" si="12"/>
        <v>/</v>
      </c>
      <c r="S98" s="4" t="str">
        <f t="shared" si="13"/>
        <v/>
      </c>
    </row>
    <row r="99" spans="1:19" x14ac:dyDescent="0.35">
      <c r="A99" s="54"/>
      <c r="B99" s="57"/>
      <c r="C99" s="60"/>
      <c r="D99" s="7" t="str">
        <f t="shared" si="7"/>
        <v/>
      </c>
      <c r="E99" s="63" t="str">
        <f>IF(OR(C99="",A99=""),"",IF(A99&lt;'Page de garde'!$G$7,IF(VALUE(RIGHT(C99,2))&lt;50,66,86),INDEX(EC!$C$2:$C$677,MATCH(C99,EC,0))))</f>
        <v/>
      </c>
      <c r="F99" s="33" t="str">
        <f t="shared" si="8"/>
        <v/>
      </c>
      <c r="G99" s="38"/>
      <c r="H99" s="38"/>
      <c r="I99" s="38"/>
      <c r="J99" s="36"/>
      <c r="K99" s="29"/>
      <c r="L99" s="29"/>
      <c r="M99" s="31"/>
      <c r="N99" s="40">
        <f t="shared" si="9"/>
        <v>0</v>
      </c>
      <c r="P99" s="4" t="str">
        <f t="shared" si="10"/>
        <v/>
      </c>
      <c r="Q99" s="4" t="str">
        <f t="shared" si="11"/>
        <v/>
      </c>
      <c r="R99" s="4" t="str">
        <f t="shared" si="12"/>
        <v>/</v>
      </c>
      <c r="S99" s="4" t="str">
        <f t="shared" si="13"/>
        <v/>
      </c>
    </row>
    <row r="100" spans="1:19" x14ac:dyDescent="0.35">
      <c r="A100" s="54"/>
      <c r="B100" s="57"/>
      <c r="C100" s="60"/>
      <c r="D100" s="7" t="str">
        <f t="shared" si="7"/>
        <v/>
      </c>
      <c r="E100" s="63" t="str">
        <f>IF(OR(C100="",A100=""),"",IF(A100&lt;'Page de garde'!$G$7,IF(VALUE(RIGHT(C100,2))&lt;50,66,86),INDEX(EC!$C$2:$C$677,MATCH(C100,EC,0))))</f>
        <v/>
      </c>
      <c r="F100" s="33" t="str">
        <f t="shared" si="8"/>
        <v/>
      </c>
      <c r="G100" s="38"/>
      <c r="H100" s="38"/>
      <c r="I100" s="38"/>
      <c r="J100" s="36"/>
      <c r="K100" s="29"/>
      <c r="L100" s="29"/>
      <c r="M100" s="31"/>
      <c r="N100" s="40">
        <f t="shared" si="9"/>
        <v>0</v>
      </c>
      <c r="P100" s="4" t="str">
        <f t="shared" si="10"/>
        <v/>
      </c>
      <c r="Q100" s="4" t="str">
        <f t="shared" si="11"/>
        <v/>
      </c>
      <c r="R100" s="4" t="str">
        <f t="shared" si="12"/>
        <v>/</v>
      </c>
      <c r="S100" s="4" t="str">
        <f t="shared" si="13"/>
        <v/>
      </c>
    </row>
    <row r="101" spans="1:19" x14ac:dyDescent="0.35">
      <c r="A101" s="54"/>
      <c r="B101" s="57"/>
      <c r="C101" s="60"/>
      <c r="D101" s="7" t="str">
        <f t="shared" si="7"/>
        <v/>
      </c>
      <c r="E101" s="63" t="str">
        <f>IF(OR(C101="",A101=""),"",IF(A101&lt;'Page de garde'!$G$7,IF(VALUE(RIGHT(C101,2))&lt;50,66,86),INDEX(EC!$C$2:$C$677,MATCH(C101,EC,0))))</f>
        <v/>
      </c>
      <c r="F101" s="33" t="str">
        <f t="shared" si="8"/>
        <v/>
      </c>
      <c r="G101" s="38"/>
      <c r="H101" s="38"/>
      <c r="I101" s="38"/>
      <c r="J101" s="36"/>
      <c r="K101" s="29"/>
      <c r="L101" s="29"/>
      <c r="M101" s="31"/>
      <c r="N101" s="40">
        <f t="shared" si="9"/>
        <v>0</v>
      </c>
      <c r="P101" s="4" t="str">
        <f t="shared" si="10"/>
        <v/>
      </c>
      <c r="Q101" s="4" t="str">
        <f t="shared" si="11"/>
        <v/>
      </c>
      <c r="R101" s="4" t="str">
        <f t="shared" si="12"/>
        <v>/</v>
      </c>
      <c r="S101" s="4" t="str">
        <f t="shared" si="13"/>
        <v/>
      </c>
    </row>
    <row r="102" spans="1:19" x14ac:dyDescent="0.35">
      <c r="A102" s="54"/>
      <c r="B102" s="57"/>
      <c r="C102" s="60"/>
      <c r="D102" s="7" t="str">
        <f t="shared" si="7"/>
        <v/>
      </c>
      <c r="E102" s="63" t="str">
        <f>IF(OR(C102="",A102=""),"",IF(A102&lt;'Page de garde'!$G$7,IF(VALUE(RIGHT(C102,2))&lt;50,66,86),INDEX(EC!$C$2:$C$677,MATCH(C102,EC,0))))</f>
        <v/>
      </c>
      <c r="F102" s="33" t="str">
        <f t="shared" si="8"/>
        <v/>
      </c>
      <c r="G102" s="38"/>
      <c r="H102" s="38"/>
      <c r="I102" s="38"/>
      <c r="J102" s="36"/>
      <c r="K102" s="29"/>
      <c r="L102" s="29"/>
      <c r="M102" s="31"/>
      <c r="N102" s="40">
        <f t="shared" si="9"/>
        <v>0</v>
      </c>
      <c r="P102" s="4" t="str">
        <f t="shared" si="10"/>
        <v/>
      </c>
      <c r="Q102" s="4" t="str">
        <f t="shared" si="11"/>
        <v/>
      </c>
      <c r="R102" s="4" t="str">
        <f t="shared" si="12"/>
        <v>/</v>
      </c>
      <c r="S102" s="4" t="str">
        <f t="shared" si="13"/>
        <v/>
      </c>
    </row>
    <row r="103" spans="1:19" x14ac:dyDescent="0.35">
      <c r="A103" s="54"/>
      <c r="B103" s="57"/>
      <c r="C103" s="60"/>
      <c r="D103" s="7" t="str">
        <f t="shared" si="7"/>
        <v/>
      </c>
      <c r="E103" s="63" t="str">
        <f>IF(OR(C103="",A103=""),"",IF(A103&lt;'Page de garde'!$G$7,IF(VALUE(RIGHT(C103,2))&lt;50,66,86),INDEX(EC!$C$2:$C$677,MATCH(C103,EC,0))))</f>
        <v/>
      </c>
      <c r="F103" s="33" t="str">
        <f t="shared" si="8"/>
        <v/>
      </c>
      <c r="G103" s="38"/>
      <c r="H103" s="38"/>
      <c r="I103" s="38"/>
      <c r="J103" s="36"/>
      <c r="K103" s="29"/>
      <c r="L103" s="29"/>
      <c r="M103" s="31"/>
      <c r="N103" s="40">
        <f t="shared" si="9"/>
        <v>0</v>
      </c>
      <c r="P103" s="4" t="str">
        <f t="shared" si="10"/>
        <v/>
      </c>
      <c r="Q103" s="4" t="str">
        <f t="shared" si="11"/>
        <v/>
      </c>
      <c r="R103" s="4" t="str">
        <f t="shared" si="12"/>
        <v>/</v>
      </c>
      <c r="S103" s="4" t="str">
        <f t="shared" si="13"/>
        <v/>
      </c>
    </row>
    <row r="104" spans="1:19" x14ac:dyDescent="0.35">
      <c r="A104" s="54"/>
      <c r="B104" s="57"/>
      <c r="C104" s="60"/>
      <c r="D104" s="7" t="str">
        <f t="shared" si="7"/>
        <v/>
      </c>
      <c r="E104" s="63" t="str">
        <f>IF(OR(C104="",A104=""),"",IF(A104&lt;'Page de garde'!$G$7,IF(VALUE(RIGHT(C104,2))&lt;50,66,86),INDEX(EC!$C$2:$C$677,MATCH(C104,EC,0))))</f>
        <v/>
      </c>
      <c r="F104" s="33" t="str">
        <f t="shared" si="8"/>
        <v/>
      </c>
      <c r="G104" s="38"/>
      <c r="H104" s="38"/>
      <c r="I104" s="38"/>
      <c r="J104" s="36"/>
      <c r="K104" s="29"/>
      <c r="L104" s="29"/>
      <c r="M104" s="31"/>
      <c r="N104" s="40">
        <f t="shared" si="9"/>
        <v>0</v>
      </c>
      <c r="P104" s="4" t="str">
        <f t="shared" si="10"/>
        <v/>
      </c>
      <c r="Q104" s="4" t="str">
        <f t="shared" si="11"/>
        <v/>
      </c>
      <c r="R104" s="4" t="str">
        <f t="shared" si="12"/>
        <v>/</v>
      </c>
      <c r="S104" s="4" t="str">
        <f t="shared" si="13"/>
        <v/>
      </c>
    </row>
    <row r="105" spans="1:19" x14ac:dyDescent="0.35">
      <c r="A105" s="54"/>
      <c r="B105" s="57"/>
      <c r="C105" s="60"/>
      <c r="D105" s="7" t="str">
        <f t="shared" si="7"/>
        <v/>
      </c>
      <c r="E105" s="63" t="str">
        <f>IF(OR(C105="",A105=""),"",IF(A105&lt;'Page de garde'!$G$7,IF(VALUE(RIGHT(C105,2))&lt;50,66,86),INDEX(EC!$C$2:$C$677,MATCH(C105,EC,0))))</f>
        <v/>
      </c>
      <c r="F105" s="33" t="str">
        <f t="shared" si="8"/>
        <v/>
      </c>
      <c r="G105" s="38"/>
      <c r="H105" s="38"/>
      <c r="I105" s="38"/>
      <c r="J105" s="36"/>
      <c r="K105" s="29"/>
      <c r="L105" s="29"/>
      <c r="M105" s="31"/>
      <c r="N105" s="40">
        <f t="shared" si="9"/>
        <v>0</v>
      </c>
      <c r="P105" s="4" t="str">
        <f t="shared" si="10"/>
        <v/>
      </c>
      <c r="Q105" s="4" t="str">
        <f t="shared" si="11"/>
        <v/>
      </c>
      <c r="R105" s="4" t="str">
        <f t="shared" si="12"/>
        <v>/</v>
      </c>
      <c r="S105" s="4" t="str">
        <f t="shared" si="13"/>
        <v/>
      </c>
    </row>
    <row r="106" spans="1:19" x14ac:dyDescent="0.35">
      <c r="A106" s="54"/>
      <c r="B106" s="57"/>
      <c r="C106" s="60"/>
      <c r="D106" s="7" t="str">
        <f t="shared" si="7"/>
        <v/>
      </c>
      <c r="E106" s="63" t="str">
        <f>IF(OR(C106="",A106=""),"",IF(A106&lt;'Page de garde'!$G$7,IF(VALUE(RIGHT(C106,2))&lt;50,66,86),INDEX(EC!$C$2:$C$677,MATCH(C106,EC,0))))</f>
        <v/>
      </c>
      <c r="F106" s="33" t="str">
        <f t="shared" si="8"/>
        <v/>
      </c>
      <c r="G106" s="38"/>
      <c r="H106" s="38"/>
      <c r="I106" s="38"/>
      <c r="J106" s="36"/>
      <c r="K106" s="29"/>
      <c r="L106" s="29"/>
      <c r="M106" s="31"/>
      <c r="N106" s="40">
        <f t="shared" si="9"/>
        <v>0</v>
      </c>
      <c r="P106" s="4" t="str">
        <f t="shared" si="10"/>
        <v/>
      </c>
      <c r="Q106" s="4" t="str">
        <f t="shared" si="11"/>
        <v/>
      </c>
      <c r="R106" s="4" t="str">
        <f t="shared" si="12"/>
        <v>/</v>
      </c>
      <c r="S106" s="4" t="str">
        <f t="shared" si="13"/>
        <v/>
      </c>
    </row>
    <row r="107" spans="1:19" x14ac:dyDescent="0.35">
      <c r="A107" s="54"/>
      <c r="B107" s="57"/>
      <c r="C107" s="60"/>
      <c r="D107" s="7" t="str">
        <f t="shared" si="7"/>
        <v/>
      </c>
      <c r="E107" s="63" t="str">
        <f>IF(OR(C107="",A107=""),"",IF(A107&lt;'Page de garde'!$G$7,IF(VALUE(RIGHT(C107,2))&lt;50,66,86),INDEX(EC!$C$2:$C$677,MATCH(C107,EC,0))))</f>
        <v/>
      </c>
      <c r="F107" s="33" t="str">
        <f t="shared" si="8"/>
        <v/>
      </c>
      <c r="G107" s="38"/>
      <c r="H107" s="38"/>
      <c r="I107" s="38"/>
      <c r="J107" s="36"/>
      <c r="K107" s="29"/>
      <c r="L107" s="29"/>
      <c r="M107" s="31"/>
      <c r="N107" s="40">
        <f t="shared" si="9"/>
        <v>0</v>
      </c>
      <c r="P107" s="4" t="str">
        <f t="shared" si="10"/>
        <v/>
      </c>
      <c r="Q107" s="4" t="str">
        <f t="shared" si="11"/>
        <v/>
      </c>
      <c r="R107" s="4" t="str">
        <f t="shared" si="12"/>
        <v>/</v>
      </c>
      <c r="S107" s="4" t="str">
        <f t="shared" si="13"/>
        <v/>
      </c>
    </row>
    <row r="108" spans="1:19" x14ac:dyDescent="0.35">
      <c r="A108" s="54"/>
      <c r="B108" s="57"/>
      <c r="C108" s="60"/>
      <c r="D108" s="7" t="str">
        <f t="shared" si="7"/>
        <v/>
      </c>
      <c r="E108" s="63" t="str">
        <f>IF(OR(C108="",A108=""),"",IF(A108&lt;'Page de garde'!$G$7,IF(VALUE(RIGHT(C108,2))&lt;50,66,86),INDEX(EC!$C$2:$C$677,MATCH(C108,EC,0))))</f>
        <v/>
      </c>
      <c r="F108" s="33" t="str">
        <f t="shared" si="8"/>
        <v/>
      </c>
      <c r="G108" s="38"/>
      <c r="H108" s="38"/>
      <c r="I108" s="38"/>
      <c r="J108" s="36"/>
      <c r="K108" s="29"/>
      <c r="L108" s="29"/>
      <c r="M108" s="31"/>
      <c r="N108" s="40">
        <f t="shared" si="9"/>
        <v>0</v>
      </c>
      <c r="P108" s="4" t="str">
        <f t="shared" si="10"/>
        <v/>
      </c>
      <c r="Q108" s="4" t="str">
        <f t="shared" si="11"/>
        <v/>
      </c>
      <c r="R108" s="4" t="str">
        <f t="shared" si="12"/>
        <v>/</v>
      </c>
      <c r="S108" s="4" t="str">
        <f t="shared" si="13"/>
        <v/>
      </c>
    </row>
    <row r="109" spans="1:19" x14ac:dyDescent="0.35">
      <c r="A109" s="54"/>
      <c r="B109" s="57"/>
      <c r="C109" s="60"/>
      <c r="D109" s="7" t="str">
        <f t="shared" si="7"/>
        <v/>
      </c>
      <c r="E109" s="63" t="str">
        <f>IF(OR(C109="",A109=""),"",IF(A109&lt;'Page de garde'!$G$7,IF(VALUE(RIGHT(C109,2))&lt;50,66,86),INDEX(EC!$C$2:$C$677,MATCH(C109,EC,0))))</f>
        <v/>
      </c>
      <c r="F109" s="33" t="str">
        <f t="shared" si="8"/>
        <v/>
      </c>
      <c r="G109" s="38"/>
      <c r="H109" s="38"/>
      <c r="I109" s="38"/>
      <c r="J109" s="36"/>
      <c r="K109" s="29"/>
      <c r="L109" s="29"/>
      <c r="M109" s="31"/>
      <c r="N109" s="40">
        <f t="shared" si="9"/>
        <v>0</v>
      </c>
      <c r="P109" s="4" t="str">
        <f t="shared" si="10"/>
        <v/>
      </c>
      <c r="Q109" s="4" t="str">
        <f t="shared" si="11"/>
        <v/>
      </c>
      <c r="R109" s="4" t="str">
        <f t="shared" si="12"/>
        <v>/</v>
      </c>
      <c r="S109" s="4" t="str">
        <f t="shared" si="13"/>
        <v/>
      </c>
    </row>
    <row r="110" spans="1:19" x14ac:dyDescent="0.35">
      <c r="A110" s="54"/>
      <c r="B110" s="57"/>
      <c r="C110" s="60"/>
      <c r="D110" s="7" t="str">
        <f t="shared" si="7"/>
        <v/>
      </c>
      <c r="E110" s="63" t="str">
        <f>IF(OR(C110="",A110=""),"",IF(A110&lt;'Page de garde'!$G$7,IF(VALUE(RIGHT(C110,2))&lt;50,66,86),INDEX(EC!$C$2:$C$677,MATCH(C110,EC,0))))</f>
        <v/>
      </c>
      <c r="F110" s="33" t="str">
        <f t="shared" si="8"/>
        <v/>
      </c>
      <c r="G110" s="38"/>
      <c r="H110" s="38"/>
      <c r="I110" s="38"/>
      <c r="J110" s="36"/>
      <c r="K110" s="29"/>
      <c r="L110" s="29"/>
      <c r="M110" s="31"/>
      <c r="N110" s="40">
        <f t="shared" si="9"/>
        <v>0</v>
      </c>
      <c r="P110" s="4" t="str">
        <f t="shared" si="10"/>
        <v/>
      </c>
      <c r="Q110" s="4" t="str">
        <f t="shared" si="11"/>
        <v/>
      </c>
      <c r="R110" s="4" t="str">
        <f t="shared" si="12"/>
        <v>/</v>
      </c>
      <c r="S110" s="4" t="str">
        <f t="shared" si="13"/>
        <v/>
      </c>
    </row>
    <row r="111" spans="1:19" x14ac:dyDescent="0.35">
      <c r="A111" s="54"/>
      <c r="B111" s="57"/>
      <c r="C111" s="60"/>
      <c r="D111" s="7" t="str">
        <f t="shared" si="7"/>
        <v/>
      </c>
      <c r="E111" s="63" t="str">
        <f>IF(OR(C111="",A111=""),"",IF(A111&lt;'Page de garde'!$G$7,IF(VALUE(RIGHT(C111,2))&lt;50,66,86),INDEX(EC!$C$2:$C$677,MATCH(C111,EC,0))))</f>
        <v/>
      </c>
      <c r="F111" s="33" t="str">
        <f t="shared" si="8"/>
        <v/>
      </c>
      <c r="G111" s="38"/>
      <c r="H111" s="38"/>
      <c r="I111" s="38"/>
      <c r="J111" s="36"/>
      <c r="K111" s="29"/>
      <c r="L111" s="29"/>
      <c r="M111" s="31"/>
      <c r="N111" s="40">
        <f t="shared" si="9"/>
        <v>0</v>
      </c>
      <c r="P111" s="4" t="str">
        <f t="shared" si="10"/>
        <v/>
      </c>
      <c r="Q111" s="4" t="str">
        <f t="shared" si="11"/>
        <v/>
      </c>
      <c r="R111" s="4" t="str">
        <f t="shared" si="12"/>
        <v>/</v>
      </c>
      <c r="S111" s="4" t="str">
        <f t="shared" si="13"/>
        <v/>
      </c>
    </row>
    <row r="112" spans="1:19" x14ac:dyDescent="0.35">
      <c r="A112" s="54"/>
      <c r="B112" s="57"/>
      <c r="C112" s="60"/>
      <c r="D112" s="7" t="str">
        <f t="shared" si="7"/>
        <v/>
      </c>
      <c r="E112" s="63" t="str">
        <f>IF(OR(C112="",A112=""),"",IF(A112&lt;'Page de garde'!$G$7,IF(VALUE(RIGHT(C112,2))&lt;50,66,86),INDEX(EC!$C$2:$C$677,MATCH(C112,EC,0))))</f>
        <v/>
      </c>
      <c r="F112" s="33" t="str">
        <f t="shared" si="8"/>
        <v/>
      </c>
      <c r="G112" s="38"/>
      <c r="H112" s="38"/>
      <c r="I112" s="38"/>
      <c r="J112" s="36"/>
      <c r="K112" s="29"/>
      <c r="L112" s="29"/>
      <c r="M112" s="31"/>
      <c r="N112" s="40">
        <f t="shared" si="9"/>
        <v>0</v>
      </c>
      <c r="P112" s="4" t="str">
        <f t="shared" si="10"/>
        <v/>
      </c>
      <c r="Q112" s="4" t="str">
        <f t="shared" si="11"/>
        <v/>
      </c>
      <c r="R112" s="4" t="str">
        <f t="shared" si="12"/>
        <v>/</v>
      </c>
      <c r="S112" s="4" t="str">
        <f t="shared" si="13"/>
        <v/>
      </c>
    </row>
    <row r="113" spans="1:19" x14ac:dyDescent="0.35">
      <c r="A113" s="54"/>
      <c r="B113" s="57"/>
      <c r="C113" s="60"/>
      <c r="D113" s="7" t="str">
        <f t="shared" si="7"/>
        <v/>
      </c>
      <c r="E113" s="63" t="str">
        <f>IF(OR(C113="",A113=""),"",IF(A113&lt;'Page de garde'!$G$7,IF(VALUE(RIGHT(C113,2))&lt;50,66,86),INDEX(EC!$C$2:$C$677,MATCH(C113,EC,0))))</f>
        <v/>
      </c>
      <c r="F113" s="33" t="str">
        <f t="shared" si="8"/>
        <v/>
      </c>
      <c r="G113" s="38"/>
      <c r="H113" s="38"/>
      <c r="I113" s="38"/>
      <c r="J113" s="36"/>
      <c r="K113" s="29"/>
      <c r="L113" s="29"/>
      <c r="M113" s="31"/>
      <c r="N113" s="40">
        <f t="shared" si="9"/>
        <v>0</v>
      </c>
      <c r="P113" s="4" t="str">
        <f t="shared" si="10"/>
        <v/>
      </c>
      <c r="Q113" s="4" t="str">
        <f t="shared" si="11"/>
        <v/>
      </c>
      <c r="R113" s="4" t="str">
        <f t="shared" si="12"/>
        <v>/</v>
      </c>
      <c r="S113" s="4" t="str">
        <f t="shared" si="13"/>
        <v/>
      </c>
    </row>
    <row r="114" spans="1:19" x14ac:dyDescent="0.35">
      <c r="A114" s="54"/>
      <c r="B114" s="57"/>
      <c r="C114" s="60"/>
      <c r="D114" s="7" t="str">
        <f t="shared" si="7"/>
        <v/>
      </c>
      <c r="E114" s="63" t="str">
        <f>IF(OR(C114="",A114=""),"",IF(A114&lt;'Page de garde'!$G$7,IF(VALUE(RIGHT(C114,2))&lt;50,66,86),INDEX(EC!$C$2:$C$677,MATCH(C114,EC,0))))</f>
        <v/>
      </c>
      <c r="F114" s="33" t="str">
        <f t="shared" si="8"/>
        <v/>
      </c>
      <c r="G114" s="38"/>
      <c r="H114" s="38"/>
      <c r="I114" s="38"/>
      <c r="J114" s="36"/>
      <c r="K114" s="29"/>
      <c r="L114" s="29"/>
      <c r="M114" s="31"/>
      <c r="N114" s="40">
        <f t="shared" si="9"/>
        <v>0</v>
      </c>
      <c r="P114" s="4" t="str">
        <f t="shared" si="10"/>
        <v/>
      </c>
      <c r="Q114" s="4" t="str">
        <f t="shared" si="11"/>
        <v/>
      </c>
      <c r="R114" s="4" t="str">
        <f t="shared" si="12"/>
        <v>/</v>
      </c>
      <c r="S114" s="4" t="str">
        <f t="shared" si="13"/>
        <v/>
      </c>
    </row>
    <row r="115" spans="1:19" x14ac:dyDescent="0.35">
      <c r="A115" s="54"/>
      <c r="B115" s="57"/>
      <c r="C115" s="60"/>
      <c r="D115" s="7" t="str">
        <f t="shared" si="7"/>
        <v/>
      </c>
      <c r="E115" s="63" t="str">
        <f>IF(OR(C115="",A115=""),"",IF(A115&lt;'Page de garde'!$G$7,IF(VALUE(RIGHT(C115,2))&lt;50,66,86),INDEX(EC!$C$2:$C$677,MATCH(C115,EC,0))))</f>
        <v/>
      </c>
      <c r="F115" s="33" t="str">
        <f t="shared" si="8"/>
        <v/>
      </c>
      <c r="G115" s="38"/>
      <c r="H115" s="38"/>
      <c r="I115" s="38"/>
      <c r="J115" s="36"/>
      <c r="K115" s="29"/>
      <c r="L115" s="29"/>
      <c r="M115" s="31"/>
      <c r="N115" s="40">
        <f t="shared" si="9"/>
        <v>0</v>
      </c>
      <c r="P115" s="4" t="str">
        <f t="shared" si="10"/>
        <v/>
      </c>
      <c r="Q115" s="4" t="str">
        <f t="shared" si="11"/>
        <v/>
      </c>
      <c r="R115" s="4" t="str">
        <f t="shared" si="12"/>
        <v>/</v>
      </c>
      <c r="S115" s="4" t="str">
        <f t="shared" si="13"/>
        <v/>
      </c>
    </row>
    <row r="116" spans="1:19" x14ac:dyDescent="0.35">
      <c r="A116" s="54"/>
      <c r="B116" s="57"/>
      <c r="C116" s="60"/>
      <c r="D116" s="7" t="str">
        <f t="shared" si="7"/>
        <v/>
      </c>
      <c r="E116" s="63" t="str">
        <f>IF(OR(C116="",A116=""),"",IF(A116&lt;'Page de garde'!$G$7,IF(VALUE(RIGHT(C116,2))&lt;50,66,86),INDEX(EC!$C$2:$C$677,MATCH(C116,EC,0))))</f>
        <v/>
      </c>
      <c r="F116" s="33" t="str">
        <f t="shared" si="8"/>
        <v/>
      </c>
      <c r="G116" s="38"/>
      <c r="H116" s="38"/>
      <c r="I116" s="38"/>
      <c r="J116" s="36"/>
      <c r="K116" s="29"/>
      <c r="L116" s="29"/>
      <c r="M116" s="31"/>
      <c r="N116" s="40">
        <f t="shared" si="9"/>
        <v>0</v>
      </c>
      <c r="P116" s="4" t="str">
        <f t="shared" si="10"/>
        <v/>
      </c>
      <c r="Q116" s="4" t="str">
        <f t="shared" si="11"/>
        <v/>
      </c>
      <c r="R116" s="4" t="str">
        <f t="shared" si="12"/>
        <v>/</v>
      </c>
      <c r="S116" s="4" t="str">
        <f t="shared" si="13"/>
        <v/>
      </c>
    </row>
    <row r="117" spans="1:19" x14ac:dyDescent="0.35">
      <c r="A117" s="54"/>
      <c r="B117" s="57"/>
      <c r="C117" s="60"/>
      <c r="D117" s="7" t="str">
        <f t="shared" si="7"/>
        <v/>
      </c>
      <c r="E117" s="63" t="str">
        <f>IF(OR(C117="",A117=""),"",IF(A117&lt;'Page de garde'!$G$7,IF(VALUE(RIGHT(C117,2))&lt;50,66,86),INDEX(EC!$C$2:$C$677,MATCH(C117,EC,0))))</f>
        <v/>
      </c>
      <c r="F117" s="33" t="str">
        <f t="shared" si="8"/>
        <v/>
      </c>
      <c r="G117" s="38"/>
      <c r="H117" s="38"/>
      <c r="I117" s="38"/>
      <c r="J117" s="36"/>
      <c r="K117" s="29"/>
      <c r="L117" s="29"/>
      <c r="M117" s="31"/>
      <c r="N117" s="40">
        <f t="shared" si="9"/>
        <v>0</v>
      </c>
      <c r="P117" s="4" t="str">
        <f t="shared" si="10"/>
        <v/>
      </c>
      <c r="Q117" s="4" t="str">
        <f t="shared" si="11"/>
        <v/>
      </c>
      <c r="R117" s="4" t="str">
        <f t="shared" si="12"/>
        <v>/</v>
      </c>
      <c r="S117" s="4" t="str">
        <f t="shared" si="13"/>
        <v/>
      </c>
    </row>
    <row r="118" spans="1:19" x14ac:dyDescent="0.35">
      <c r="A118" s="54"/>
      <c r="B118" s="57"/>
      <c r="C118" s="60"/>
      <c r="D118" s="7" t="str">
        <f t="shared" si="7"/>
        <v/>
      </c>
      <c r="E118" s="63" t="str">
        <f>IF(OR(C118="",A118=""),"",IF(A118&lt;'Page de garde'!$G$7,IF(VALUE(RIGHT(C118,2))&lt;50,66,86),INDEX(EC!$C$2:$C$677,MATCH(C118,EC,0))))</f>
        <v/>
      </c>
      <c r="F118" s="33" t="str">
        <f t="shared" si="8"/>
        <v/>
      </c>
      <c r="G118" s="38"/>
      <c r="H118" s="38"/>
      <c r="I118" s="38"/>
      <c r="J118" s="36"/>
      <c r="K118" s="29"/>
      <c r="L118" s="29"/>
      <c r="M118" s="31"/>
      <c r="N118" s="40">
        <f t="shared" si="9"/>
        <v>0</v>
      </c>
      <c r="P118" s="4" t="str">
        <f t="shared" si="10"/>
        <v/>
      </c>
      <c r="Q118" s="4" t="str">
        <f t="shared" si="11"/>
        <v/>
      </c>
      <c r="R118" s="4" t="str">
        <f t="shared" si="12"/>
        <v>/</v>
      </c>
      <c r="S118" s="4" t="str">
        <f t="shared" si="13"/>
        <v/>
      </c>
    </row>
    <row r="119" spans="1:19" x14ac:dyDescent="0.35">
      <c r="A119" s="54"/>
      <c r="B119" s="57"/>
      <c r="C119" s="60"/>
      <c r="D119" s="7" t="str">
        <f t="shared" si="7"/>
        <v/>
      </c>
      <c r="E119" s="63" t="str">
        <f>IF(OR(C119="",A119=""),"",IF(A119&lt;'Page de garde'!$G$7,IF(VALUE(RIGHT(C119,2))&lt;50,66,86),INDEX(EC!$C$2:$C$677,MATCH(C119,EC,0))))</f>
        <v/>
      </c>
      <c r="F119" s="33" t="str">
        <f t="shared" si="8"/>
        <v/>
      </c>
      <c r="G119" s="38"/>
      <c r="H119" s="38"/>
      <c r="I119" s="38"/>
      <c r="J119" s="36"/>
      <c r="K119" s="29"/>
      <c r="L119" s="29"/>
      <c r="M119" s="31"/>
      <c r="N119" s="40">
        <f t="shared" si="9"/>
        <v>0</v>
      </c>
      <c r="P119" s="4" t="str">
        <f t="shared" si="10"/>
        <v/>
      </c>
      <c r="Q119" s="4" t="str">
        <f t="shared" si="11"/>
        <v/>
      </c>
      <c r="R119" s="4" t="str">
        <f t="shared" si="12"/>
        <v>/</v>
      </c>
      <c r="S119" s="4" t="str">
        <f t="shared" si="13"/>
        <v/>
      </c>
    </row>
    <row r="120" spans="1:19" x14ac:dyDescent="0.35">
      <c r="A120" s="54"/>
      <c r="B120" s="57"/>
      <c r="C120" s="60"/>
      <c r="D120" s="7" t="str">
        <f t="shared" si="7"/>
        <v/>
      </c>
      <c r="E120" s="63" t="str">
        <f>IF(OR(C120="",A120=""),"",IF(A120&lt;'Page de garde'!$G$7,IF(VALUE(RIGHT(C120,2))&lt;50,66,86),INDEX(EC!$C$2:$C$677,MATCH(C120,EC,0))))</f>
        <v/>
      </c>
      <c r="F120" s="33" t="str">
        <f t="shared" si="8"/>
        <v/>
      </c>
      <c r="G120" s="38"/>
      <c r="H120" s="38"/>
      <c r="I120" s="38"/>
      <c r="J120" s="36"/>
      <c r="K120" s="29"/>
      <c r="L120" s="29"/>
      <c r="M120" s="31"/>
      <c r="N120" s="40">
        <f t="shared" si="9"/>
        <v>0</v>
      </c>
      <c r="P120" s="4" t="str">
        <f t="shared" si="10"/>
        <v/>
      </c>
      <c r="Q120" s="4" t="str">
        <f t="shared" si="11"/>
        <v/>
      </c>
      <c r="R120" s="4" t="str">
        <f t="shared" si="12"/>
        <v>/</v>
      </c>
      <c r="S120" s="4" t="str">
        <f t="shared" si="13"/>
        <v/>
      </c>
    </row>
    <row r="121" spans="1:19" x14ac:dyDescent="0.35">
      <c r="A121" s="54"/>
      <c r="B121" s="57"/>
      <c r="C121" s="60"/>
      <c r="D121" s="7" t="str">
        <f t="shared" si="7"/>
        <v/>
      </c>
      <c r="E121" s="63" t="str">
        <f>IF(OR(C121="",A121=""),"",IF(A121&lt;'Page de garde'!$G$7,IF(VALUE(RIGHT(C121,2))&lt;50,66,86),INDEX(EC!$C$2:$C$677,MATCH(C121,EC,0))))</f>
        <v/>
      </c>
      <c r="F121" s="33" t="str">
        <f t="shared" si="8"/>
        <v/>
      </c>
      <c r="G121" s="38"/>
      <c r="H121" s="38"/>
      <c r="I121" s="38"/>
      <c r="J121" s="36"/>
      <c r="K121" s="29"/>
      <c r="L121" s="29"/>
      <c r="M121" s="31"/>
      <c r="N121" s="40">
        <f t="shared" si="9"/>
        <v>0</v>
      </c>
      <c r="P121" s="4" t="str">
        <f t="shared" si="10"/>
        <v/>
      </c>
      <c r="Q121" s="4" t="str">
        <f t="shared" si="11"/>
        <v/>
      </c>
      <c r="R121" s="4" t="str">
        <f t="shared" si="12"/>
        <v>/</v>
      </c>
      <c r="S121" s="4" t="str">
        <f t="shared" si="13"/>
        <v/>
      </c>
    </row>
    <row r="122" spans="1:19" x14ac:dyDescent="0.35">
      <c r="A122" s="54"/>
      <c r="B122" s="57"/>
      <c r="C122" s="60"/>
      <c r="D122" s="7" t="str">
        <f t="shared" si="7"/>
        <v/>
      </c>
      <c r="E122" s="63" t="str">
        <f>IF(OR(C122="",A122=""),"",IF(A122&lt;'Page de garde'!$G$7,IF(VALUE(RIGHT(C122,2))&lt;50,66,86),INDEX(EC!$C$2:$C$677,MATCH(C122,EC,0))))</f>
        <v/>
      </c>
      <c r="F122" s="33" t="str">
        <f t="shared" si="8"/>
        <v/>
      </c>
      <c r="G122" s="38"/>
      <c r="H122" s="38"/>
      <c r="I122" s="38"/>
      <c r="J122" s="36"/>
      <c r="K122" s="29"/>
      <c r="L122" s="29"/>
      <c r="M122" s="31"/>
      <c r="N122" s="40">
        <f t="shared" si="9"/>
        <v>0</v>
      </c>
      <c r="P122" s="4" t="str">
        <f t="shared" si="10"/>
        <v/>
      </c>
      <c r="Q122" s="4" t="str">
        <f t="shared" si="11"/>
        <v/>
      </c>
      <c r="R122" s="4" t="str">
        <f t="shared" si="12"/>
        <v>/</v>
      </c>
      <c r="S122" s="4" t="str">
        <f t="shared" si="13"/>
        <v/>
      </c>
    </row>
    <row r="123" spans="1:19" x14ac:dyDescent="0.35">
      <c r="A123" s="54"/>
      <c r="B123" s="57"/>
      <c r="C123" s="60"/>
      <c r="D123" s="7" t="str">
        <f t="shared" si="7"/>
        <v/>
      </c>
      <c r="E123" s="63" t="str">
        <f>IF(OR(C123="",A123=""),"",IF(A123&lt;'Page de garde'!$G$7,IF(VALUE(RIGHT(C123,2))&lt;50,66,86),INDEX(EC!$C$2:$C$677,MATCH(C123,EC,0))))</f>
        <v/>
      </c>
      <c r="F123" s="33" t="str">
        <f t="shared" si="8"/>
        <v/>
      </c>
      <c r="G123" s="38"/>
      <c r="H123" s="38"/>
      <c r="I123" s="38"/>
      <c r="J123" s="36"/>
      <c r="K123" s="29"/>
      <c r="L123" s="29"/>
      <c r="M123" s="31"/>
      <c r="N123" s="40">
        <f t="shared" si="9"/>
        <v>0</v>
      </c>
      <c r="P123" s="4" t="str">
        <f t="shared" si="10"/>
        <v/>
      </c>
      <c r="Q123" s="4" t="str">
        <f t="shared" si="11"/>
        <v/>
      </c>
      <c r="R123" s="4" t="str">
        <f t="shared" si="12"/>
        <v>/</v>
      </c>
      <c r="S123" s="4" t="str">
        <f t="shared" si="13"/>
        <v/>
      </c>
    </row>
    <row r="124" spans="1:19" x14ac:dyDescent="0.35">
      <c r="A124" s="54"/>
      <c r="B124" s="57"/>
      <c r="C124" s="60"/>
      <c r="D124" s="7" t="str">
        <f t="shared" si="7"/>
        <v/>
      </c>
      <c r="E124" s="63" t="str">
        <f>IF(OR(C124="",A124=""),"",IF(A124&lt;'Page de garde'!$G$7,IF(VALUE(RIGHT(C124,2))&lt;50,66,86),INDEX(EC!$C$2:$C$677,MATCH(C124,EC,0))))</f>
        <v/>
      </c>
      <c r="F124" s="33" t="str">
        <f t="shared" si="8"/>
        <v/>
      </c>
      <c r="G124" s="38"/>
      <c r="H124" s="38"/>
      <c r="I124" s="38"/>
      <c r="J124" s="36"/>
      <c r="K124" s="29"/>
      <c r="L124" s="29"/>
      <c r="M124" s="31"/>
      <c r="N124" s="40">
        <f t="shared" si="9"/>
        <v>0</v>
      </c>
      <c r="P124" s="4" t="str">
        <f t="shared" si="10"/>
        <v/>
      </c>
      <c r="Q124" s="4" t="str">
        <f t="shared" si="11"/>
        <v/>
      </c>
      <c r="R124" s="4" t="str">
        <f t="shared" si="12"/>
        <v>/</v>
      </c>
      <c r="S124" s="4" t="str">
        <f t="shared" si="13"/>
        <v/>
      </c>
    </row>
    <row r="125" spans="1:19" x14ac:dyDescent="0.35">
      <c r="A125" s="54"/>
      <c r="B125" s="57"/>
      <c r="C125" s="60"/>
      <c r="D125" s="7" t="str">
        <f t="shared" si="7"/>
        <v/>
      </c>
      <c r="E125" s="63" t="str">
        <f>IF(OR(C125="",A125=""),"",IF(A125&lt;'Page de garde'!$G$7,IF(VALUE(RIGHT(C125,2))&lt;50,66,86),INDEX(EC!$C$2:$C$677,MATCH(C125,EC,0))))</f>
        <v/>
      </c>
      <c r="F125" s="33" t="str">
        <f t="shared" si="8"/>
        <v/>
      </c>
      <c r="G125" s="38"/>
      <c r="H125" s="38"/>
      <c r="I125" s="38"/>
      <c r="J125" s="36"/>
      <c r="K125" s="29"/>
      <c r="L125" s="29"/>
      <c r="M125" s="31"/>
      <c r="N125" s="40">
        <f t="shared" si="9"/>
        <v>0</v>
      </c>
      <c r="P125" s="4" t="str">
        <f t="shared" si="10"/>
        <v/>
      </c>
      <c r="Q125" s="4" t="str">
        <f t="shared" si="11"/>
        <v/>
      </c>
      <c r="R125" s="4" t="str">
        <f t="shared" si="12"/>
        <v>/</v>
      </c>
      <c r="S125" s="4" t="str">
        <f t="shared" si="13"/>
        <v/>
      </c>
    </row>
    <row r="126" spans="1:19" x14ac:dyDescent="0.35">
      <c r="A126" s="54"/>
      <c r="B126" s="57"/>
      <c r="C126" s="60"/>
      <c r="D126" s="7" t="str">
        <f t="shared" si="7"/>
        <v/>
      </c>
      <c r="E126" s="63" t="str">
        <f>IF(OR(C126="",A126=""),"",IF(A126&lt;'Page de garde'!$G$7,IF(VALUE(RIGHT(C126,2))&lt;50,66,86),INDEX(EC!$C$2:$C$677,MATCH(C126,EC,0))))</f>
        <v/>
      </c>
      <c r="F126" s="33" t="str">
        <f t="shared" si="8"/>
        <v/>
      </c>
      <c r="G126" s="38"/>
      <c r="H126" s="38"/>
      <c r="I126" s="38"/>
      <c r="J126" s="36"/>
      <c r="K126" s="29"/>
      <c r="L126" s="29"/>
      <c r="M126" s="31"/>
      <c r="N126" s="40">
        <f t="shared" si="9"/>
        <v>0</v>
      </c>
      <c r="P126" s="4" t="str">
        <f t="shared" si="10"/>
        <v/>
      </c>
      <c r="Q126" s="4" t="str">
        <f t="shared" si="11"/>
        <v/>
      </c>
      <c r="R126" s="4" t="str">
        <f t="shared" si="12"/>
        <v>/</v>
      </c>
      <c r="S126" s="4" t="str">
        <f t="shared" si="13"/>
        <v/>
      </c>
    </row>
    <row r="127" spans="1:19" x14ac:dyDescent="0.35">
      <c r="A127" s="54"/>
      <c r="B127" s="57"/>
      <c r="C127" s="60"/>
      <c r="D127" s="7" t="str">
        <f t="shared" si="7"/>
        <v/>
      </c>
      <c r="E127" s="63" t="str">
        <f>IF(OR(C127="",A127=""),"",IF(A127&lt;'Page de garde'!$G$7,IF(VALUE(RIGHT(C127,2))&lt;50,66,86),INDEX(EC!$C$2:$C$677,MATCH(C127,EC,0))))</f>
        <v/>
      </c>
      <c r="F127" s="33" t="str">
        <f t="shared" si="8"/>
        <v/>
      </c>
      <c r="G127" s="38"/>
      <c r="H127" s="38"/>
      <c r="I127" s="38"/>
      <c r="J127" s="36"/>
      <c r="K127" s="29"/>
      <c r="L127" s="29"/>
      <c r="M127" s="31"/>
      <c r="N127" s="40">
        <f t="shared" si="9"/>
        <v>0</v>
      </c>
      <c r="P127" s="4" t="str">
        <f t="shared" si="10"/>
        <v/>
      </c>
      <c r="Q127" s="4" t="str">
        <f t="shared" si="11"/>
        <v/>
      </c>
      <c r="R127" s="4" t="str">
        <f t="shared" si="12"/>
        <v>/</v>
      </c>
      <c r="S127" s="4" t="str">
        <f t="shared" si="13"/>
        <v/>
      </c>
    </row>
    <row r="128" spans="1:19" x14ac:dyDescent="0.35">
      <c r="A128" s="54"/>
      <c r="B128" s="57"/>
      <c r="C128" s="60"/>
      <c r="D128" s="7" t="str">
        <f t="shared" si="7"/>
        <v/>
      </c>
      <c r="E128" s="63" t="str">
        <f>IF(OR(C128="",A128=""),"",IF(A128&lt;'Page de garde'!$G$7,IF(VALUE(RIGHT(C128,2))&lt;50,66,86),INDEX(EC!$C$2:$C$677,MATCH(C128,EC,0))))</f>
        <v/>
      </c>
      <c r="F128" s="33" t="str">
        <f t="shared" si="8"/>
        <v/>
      </c>
      <c r="G128" s="38"/>
      <c r="H128" s="38"/>
      <c r="I128" s="38"/>
      <c r="J128" s="36"/>
      <c r="K128" s="29"/>
      <c r="L128" s="29"/>
      <c r="M128" s="31"/>
      <c r="N128" s="40">
        <f t="shared" si="9"/>
        <v>0</v>
      </c>
      <c r="P128" s="4" t="str">
        <f t="shared" si="10"/>
        <v/>
      </c>
      <c r="Q128" s="4" t="str">
        <f t="shared" si="11"/>
        <v/>
      </c>
      <c r="R128" s="4" t="str">
        <f t="shared" si="12"/>
        <v>/</v>
      </c>
      <c r="S128" s="4" t="str">
        <f t="shared" si="13"/>
        <v/>
      </c>
    </row>
    <row r="129" spans="1:19" x14ac:dyDescent="0.35">
      <c r="A129" s="54"/>
      <c r="B129" s="57"/>
      <c r="C129" s="60"/>
      <c r="D129" s="7" t="str">
        <f t="shared" si="7"/>
        <v/>
      </c>
      <c r="E129" s="63" t="str">
        <f>IF(OR(C129="",A129=""),"",IF(A129&lt;'Page de garde'!$G$7,IF(VALUE(RIGHT(C129,2))&lt;50,66,86),INDEX(EC!$C$2:$C$677,MATCH(C129,EC,0))))</f>
        <v/>
      </c>
      <c r="F129" s="33" t="str">
        <f t="shared" si="8"/>
        <v/>
      </c>
      <c r="G129" s="38"/>
      <c r="H129" s="38"/>
      <c r="I129" s="38"/>
      <c r="J129" s="36"/>
      <c r="K129" s="29"/>
      <c r="L129" s="29"/>
      <c r="M129" s="31"/>
      <c r="N129" s="40">
        <f t="shared" si="9"/>
        <v>0</v>
      </c>
      <c r="P129" s="4" t="str">
        <f t="shared" si="10"/>
        <v/>
      </c>
      <c r="Q129" s="4" t="str">
        <f t="shared" si="11"/>
        <v/>
      </c>
      <c r="R129" s="4" t="str">
        <f t="shared" si="12"/>
        <v>/</v>
      </c>
      <c r="S129" s="4" t="str">
        <f t="shared" si="13"/>
        <v/>
      </c>
    </row>
    <row r="130" spans="1:19" x14ac:dyDescent="0.35">
      <c r="A130" s="54"/>
      <c r="B130" s="57"/>
      <c r="C130" s="60"/>
      <c r="D130" s="7" t="str">
        <f t="shared" si="7"/>
        <v/>
      </c>
      <c r="E130" s="63" t="str">
        <f>IF(OR(C130="",A130=""),"",IF(A130&lt;'Page de garde'!$G$7,IF(VALUE(RIGHT(C130,2))&lt;50,66,86),INDEX(EC!$C$2:$C$677,MATCH(C130,EC,0))))</f>
        <v/>
      </c>
      <c r="F130" s="33" t="str">
        <f t="shared" si="8"/>
        <v/>
      </c>
      <c r="G130" s="38"/>
      <c r="H130" s="38"/>
      <c r="I130" s="38"/>
      <c r="J130" s="36"/>
      <c r="K130" s="29"/>
      <c r="L130" s="29"/>
      <c r="M130" s="31"/>
      <c r="N130" s="40">
        <f t="shared" si="9"/>
        <v>0</v>
      </c>
      <c r="P130" s="4" t="str">
        <f t="shared" si="10"/>
        <v/>
      </c>
      <c r="Q130" s="4" t="str">
        <f t="shared" si="11"/>
        <v/>
      </c>
      <c r="R130" s="4" t="str">
        <f t="shared" si="12"/>
        <v>/</v>
      </c>
      <c r="S130" s="4" t="str">
        <f t="shared" si="13"/>
        <v/>
      </c>
    </row>
    <row r="131" spans="1:19" x14ac:dyDescent="0.35">
      <c r="A131" s="54"/>
      <c r="B131" s="57"/>
      <c r="C131" s="60"/>
      <c r="D131" s="7" t="str">
        <f t="shared" si="7"/>
        <v/>
      </c>
      <c r="E131" s="63" t="str">
        <f>IF(OR(C131="",A131=""),"",IF(A131&lt;'Page de garde'!$G$7,IF(VALUE(RIGHT(C131,2))&lt;50,66,86),INDEX(EC!$C$2:$C$677,MATCH(C131,EC,0))))</f>
        <v/>
      </c>
      <c r="F131" s="33" t="str">
        <f t="shared" si="8"/>
        <v/>
      </c>
      <c r="G131" s="38"/>
      <c r="H131" s="38"/>
      <c r="I131" s="38"/>
      <c r="J131" s="36"/>
      <c r="K131" s="29"/>
      <c r="L131" s="29"/>
      <c r="M131" s="31"/>
      <c r="N131" s="40">
        <f t="shared" si="9"/>
        <v>0</v>
      </c>
      <c r="P131" s="4" t="str">
        <f t="shared" si="10"/>
        <v/>
      </c>
      <c r="Q131" s="4" t="str">
        <f t="shared" si="11"/>
        <v/>
      </c>
      <c r="R131" s="4" t="str">
        <f t="shared" si="12"/>
        <v>/</v>
      </c>
      <c r="S131" s="4" t="str">
        <f t="shared" si="13"/>
        <v/>
      </c>
    </row>
    <row r="132" spans="1:19" x14ac:dyDescent="0.35">
      <c r="A132" s="54"/>
      <c r="B132" s="57"/>
      <c r="C132" s="60"/>
      <c r="D132" s="7" t="str">
        <f t="shared" si="7"/>
        <v/>
      </c>
      <c r="E132" s="63" t="str">
        <f>IF(OR(C132="",A132=""),"",IF(A132&lt;'Page de garde'!$G$7,IF(VALUE(RIGHT(C132,2))&lt;50,66,86),INDEX(EC!$C$2:$C$677,MATCH(C132,EC,0))))</f>
        <v/>
      </c>
      <c r="F132" s="33" t="str">
        <f t="shared" si="8"/>
        <v/>
      </c>
      <c r="G132" s="38"/>
      <c r="H132" s="38"/>
      <c r="I132" s="38"/>
      <c r="J132" s="36"/>
      <c r="K132" s="29"/>
      <c r="L132" s="29"/>
      <c r="M132" s="31"/>
      <c r="N132" s="40">
        <f t="shared" si="9"/>
        <v>0</v>
      </c>
      <c r="P132" s="4" t="str">
        <f t="shared" si="10"/>
        <v/>
      </c>
      <c r="Q132" s="4" t="str">
        <f t="shared" si="11"/>
        <v/>
      </c>
      <c r="R132" s="4" t="str">
        <f t="shared" si="12"/>
        <v>/</v>
      </c>
      <c r="S132" s="4" t="str">
        <f t="shared" si="13"/>
        <v/>
      </c>
    </row>
    <row r="133" spans="1:19" x14ac:dyDescent="0.35">
      <c r="A133" s="54"/>
      <c r="B133" s="57"/>
      <c r="C133" s="60"/>
      <c r="D133" s="7" t="str">
        <f t="shared" ref="D133:D196" si="14">IF(OR(B133="",C133=""),"",CONCATENATE(B133,"/",LEFT(C133,3),"-",RIGHT(C133,2)))</f>
        <v/>
      </c>
      <c r="E133" s="63" t="str">
        <f>IF(OR(C133="",A133=""),"",IF(A133&lt;'Page de garde'!$G$7,IF(VALUE(RIGHT(C133,2))&lt;50,66,86),INDEX(EC!$C$2:$C$677,MATCH(C133,EC,0))))</f>
        <v/>
      </c>
      <c r="F133" s="33" t="str">
        <f t="shared" ref="F133:F196" si="15">IF(C133="","",INDEX(OmEC,MATCH(C133,EC,0)))</f>
        <v/>
      </c>
      <c r="G133" s="38"/>
      <c r="H133" s="38"/>
      <c r="I133" s="38"/>
      <c r="J133" s="36"/>
      <c r="K133" s="29"/>
      <c r="L133" s="29"/>
      <c r="M133" s="31"/>
      <c r="N133" s="40">
        <f t="shared" ref="N133:N196" si="16">SUM(I133:M133)</f>
        <v>0</v>
      </c>
      <c r="P133" s="4" t="str">
        <f t="shared" ref="P133:P196" si="17">LEFT(C133,3)</f>
        <v/>
      </c>
      <c r="Q133" s="4" t="str">
        <f t="shared" si="11"/>
        <v/>
      </c>
      <c r="R133" s="4" t="str">
        <f t="shared" si="12"/>
        <v>/</v>
      </c>
      <c r="S133" s="4" t="str">
        <f t="shared" si="13"/>
        <v/>
      </c>
    </row>
    <row r="134" spans="1:19" x14ac:dyDescent="0.35">
      <c r="A134" s="54"/>
      <c r="B134" s="57"/>
      <c r="C134" s="60"/>
      <c r="D134" s="7" t="str">
        <f t="shared" si="14"/>
        <v/>
      </c>
      <c r="E134" s="63" t="str">
        <f>IF(OR(C134="",A134=""),"",IF(A134&lt;'Page de garde'!$G$7,IF(VALUE(RIGHT(C134,2))&lt;50,66,86),INDEX(EC!$C$2:$C$677,MATCH(C134,EC,0))))</f>
        <v/>
      </c>
      <c r="F134" s="33" t="str">
        <f t="shared" si="15"/>
        <v/>
      </c>
      <c r="G134" s="38"/>
      <c r="H134" s="38"/>
      <c r="I134" s="38"/>
      <c r="J134" s="36"/>
      <c r="K134" s="29"/>
      <c r="L134" s="29"/>
      <c r="M134" s="31"/>
      <c r="N134" s="40">
        <f t="shared" si="16"/>
        <v>0</v>
      </c>
      <c r="P134" s="4" t="str">
        <f t="shared" si="17"/>
        <v/>
      </c>
      <c r="Q134" s="4" t="str">
        <f t="shared" ref="Q134:Q197" si="18">IF(C134="","",IF(VALUE(RIGHT(C134,2))&lt;50,"G","B"))</f>
        <v/>
      </c>
      <c r="R134" s="4" t="str">
        <f t="shared" ref="R134:R197" si="19">CONCATENATE(D134,"/",A134)</f>
        <v>/</v>
      </c>
      <c r="S134" s="4" t="str">
        <f t="shared" ref="S134:S197" si="20">IF(B134="","",LEFT(B134,3))</f>
        <v/>
      </c>
    </row>
    <row r="135" spans="1:19" x14ac:dyDescent="0.35">
      <c r="A135" s="54"/>
      <c r="B135" s="57"/>
      <c r="C135" s="60"/>
      <c r="D135" s="7" t="str">
        <f t="shared" si="14"/>
        <v/>
      </c>
      <c r="E135" s="63" t="str">
        <f>IF(OR(C135="",A135=""),"",IF(A135&lt;'Page de garde'!$G$7,IF(VALUE(RIGHT(C135,2))&lt;50,66,86),INDEX(EC!$C$2:$C$677,MATCH(C135,EC,0))))</f>
        <v/>
      </c>
      <c r="F135" s="33" t="str">
        <f t="shared" si="15"/>
        <v/>
      </c>
      <c r="G135" s="38"/>
      <c r="H135" s="38"/>
      <c r="I135" s="38"/>
      <c r="J135" s="36"/>
      <c r="K135" s="29"/>
      <c r="L135" s="29"/>
      <c r="M135" s="31"/>
      <c r="N135" s="40">
        <f t="shared" si="16"/>
        <v>0</v>
      </c>
      <c r="P135" s="4" t="str">
        <f t="shared" si="17"/>
        <v/>
      </c>
      <c r="Q135" s="4" t="str">
        <f t="shared" si="18"/>
        <v/>
      </c>
      <c r="R135" s="4" t="str">
        <f t="shared" si="19"/>
        <v>/</v>
      </c>
      <c r="S135" s="4" t="str">
        <f t="shared" si="20"/>
        <v/>
      </c>
    </row>
    <row r="136" spans="1:19" x14ac:dyDescent="0.35">
      <c r="A136" s="54"/>
      <c r="B136" s="57"/>
      <c r="C136" s="60"/>
      <c r="D136" s="7" t="str">
        <f t="shared" si="14"/>
        <v/>
      </c>
      <c r="E136" s="63" t="str">
        <f>IF(OR(C136="",A136=""),"",IF(A136&lt;'Page de garde'!$G$7,IF(VALUE(RIGHT(C136,2))&lt;50,66,86),INDEX(EC!$C$2:$C$677,MATCH(C136,EC,0))))</f>
        <v/>
      </c>
      <c r="F136" s="33" t="str">
        <f t="shared" si="15"/>
        <v/>
      </c>
      <c r="G136" s="38"/>
      <c r="H136" s="38"/>
      <c r="I136" s="38"/>
      <c r="J136" s="36"/>
      <c r="K136" s="29"/>
      <c r="L136" s="29"/>
      <c r="M136" s="31"/>
      <c r="N136" s="40">
        <f t="shared" si="16"/>
        <v>0</v>
      </c>
      <c r="P136" s="4" t="str">
        <f t="shared" si="17"/>
        <v/>
      </c>
      <c r="Q136" s="4" t="str">
        <f t="shared" si="18"/>
        <v/>
      </c>
      <c r="R136" s="4" t="str">
        <f t="shared" si="19"/>
        <v>/</v>
      </c>
      <c r="S136" s="4" t="str">
        <f t="shared" si="20"/>
        <v/>
      </c>
    </row>
    <row r="137" spans="1:19" x14ac:dyDescent="0.35">
      <c r="A137" s="54"/>
      <c r="B137" s="57"/>
      <c r="C137" s="60"/>
      <c r="D137" s="7" t="str">
        <f t="shared" si="14"/>
        <v/>
      </c>
      <c r="E137" s="63" t="str">
        <f>IF(OR(C137="",A137=""),"",IF(A137&lt;'Page de garde'!$G$7,IF(VALUE(RIGHT(C137,2))&lt;50,66,86),INDEX(EC!$C$2:$C$677,MATCH(C137,EC,0))))</f>
        <v/>
      </c>
      <c r="F137" s="33" t="str">
        <f t="shared" si="15"/>
        <v/>
      </c>
      <c r="G137" s="38"/>
      <c r="H137" s="38"/>
      <c r="I137" s="38"/>
      <c r="J137" s="36"/>
      <c r="K137" s="29"/>
      <c r="L137" s="29"/>
      <c r="M137" s="31"/>
      <c r="N137" s="40">
        <f t="shared" si="16"/>
        <v>0</v>
      </c>
      <c r="P137" s="4" t="str">
        <f t="shared" si="17"/>
        <v/>
      </c>
      <c r="Q137" s="4" t="str">
        <f t="shared" si="18"/>
        <v/>
      </c>
      <c r="R137" s="4" t="str">
        <f t="shared" si="19"/>
        <v>/</v>
      </c>
      <c r="S137" s="4" t="str">
        <f t="shared" si="20"/>
        <v/>
      </c>
    </row>
    <row r="138" spans="1:19" x14ac:dyDescent="0.35">
      <c r="A138" s="54"/>
      <c r="B138" s="57"/>
      <c r="C138" s="60"/>
      <c r="D138" s="7" t="str">
        <f t="shared" si="14"/>
        <v/>
      </c>
      <c r="E138" s="63" t="str">
        <f>IF(OR(C138="",A138=""),"",IF(A138&lt;'Page de garde'!$G$7,IF(VALUE(RIGHT(C138,2))&lt;50,66,86),INDEX(EC!$C$2:$C$677,MATCH(C138,EC,0))))</f>
        <v/>
      </c>
      <c r="F138" s="33" t="str">
        <f t="shared" si="15"/>
        <v/>
      </c>
      <c r="G138" s="38"/>
      <c r="H138" s="38"/>
      <c r="I138" s="38"/>
      <c r="J138" s="36"/>
      <c r="K138" s="29"/>
      <c r="L138" s="29"/>
      <c r="M138" s="31"/>
      <c r="N138" s="40">
        <f t="shared" si="16"/>
        <v>0</v>
      </c>
      <c r="P138" s="4" t="str">
        <f t="shared" si="17"/>
        <v/>
      </c>
      <c r="Q138" s="4" t="str">
        <f t="shared" si="18"/>
        <v/>
      </c>
      <c r="R138" s="4" t="str">
        <f t="shared" si="19"/>
        <v>/</v>
      </c>
      <c r="S138" s="4" t="str">
        <f t="shared" si="20"/>
        <v/>
      </c>
    </row>
    <row r="139" spans="1:19" x14ac:dyDescent="0.35">
      <c r="A139" s="54"/>
      <c r="B139" s="57"/>
      <c r="C139" s="60"/>
      <c r="D139" s="7" t="str">
        <f t="shared" si="14"/>
        <v/>
      </c>
      <c r="E139" s="63" t="str">
        <f>IF(OR(C139="",A139=""),"",IF(A139&lt;'Page de garde'!$G$7,IF(VALUE(RIGHT(C139,2))&lt;50,66,86),INDEX(EC!$C$2:$C$677,MATCH(C139,EC,0))))</f>
        <v/>
      </c>
      <c r="F139" s="33" t="str">
        <f t="shared" si="15"/>
        <v/>
      </c>
      <c r="G139" s="38"/>
      <c r="H139" s="38"/>
      <c r="I139" s="38"/>
      <c r="J139" s="36"/>
      <c r="K139" s="29"/>
      <c r="L139" s="29"/>
      <c r="M139" s="31"/>
      <c r="N139" s="40">
        <f t="shared" si="16"/>
        <v>0</v>
      </c>
      <c r="P139" s="4" t="str">
        <f t="shared" si="17"/>
        <v/>
      </c>
      <c r="Q139" s="4" t="str">
        <f t="shared" si="18"/>
        <v/>
      </c>
      <c r="R139" s="4" t="str">
        <f t="shared" si="19"/>
        <v>/</v>
      </c>
      <c r="S139" s="4" t="str">
        <f t="shared" si="20"/>
        <v/>
      </c>
    </row>
    <row r="140" spans="1:19" x14ac:dyDescent="0.35">
      <c r="A140" s="54"/>
      <c r="B140" s="57"/>
      <c r="C140" s="60"/>
      <c r="D140" s="7" t="str">
        <f t="shared" si="14"/>
        <v/>
      </c>
      <c r="E140" s="63" t="str">
        <f>IF(OR(C140="",A140=""),"",IF(A140&lt;'Page de garde'!$G$7,IF(VALUE(RIGHT(C140,2))&lt;50,66,86),INDEX(EC!$C$2:$C$677,MATCH(C140,EC,0))))</f>
        <v/>
      </c>
      <c r="F140" s="33" t="str">
        <f t="shared" si="15"/>
        <v/>
      </c>
      <c r="G140" s="38"/>
      <c r="H140" s="38"/>
      <c r="I140" s="38"/>
      <c r="J140" s="36"/>
      <c r="K140" s="29"/>
      <c r="L140" s="29"/>
      <c r="M140" s="31"/>
      <c r="N140" s="40">
        <f t="shared" si="16"/>
        <v>0</v>
      </c>
      <c r="P140" s="4" t="str">
        <f t="shared" si="17"/>
        <v/>
      </c>
      <c r="Q140" s="4" t="str">
        <f t="shared" si="18"/>
        <v/>
      </c>
      <c r="R140" s="4" t="str">
        <f t="shared" si="19"/>
        <v>/</v>
      </c>
      <c r="S140" s="4" t="str">
        <f t="shared" si="20"/>
        <v/>
      </c>
    </row>
    <row r="141" spans="1:19" x14ac:dyDescent="0.35">
      <c r="A141" s="54"/>
      <c r="B141" s="57"/>
      <c r="C141" s="60"/>
      <c r="D141" s="7" t="str">
        <f t="shared" si="14"/>
        <v/>
      </c>
      <c r="E141" s="63" t="str">
        <f>IF(OR(C141="",A141=""),"",IF(A141&lt;'Page de garde'!$G$7,IF(VALUE(RIGHT(C141,2))&lt;50,66,86),INDEX(EC!$C$2:$C$677,MATCH(C141,EC,0))))</f>
        <v/>
      </c>
      <c r="F141" s="33" t="str">
        <f t="shared" si="15"/>
        <v/>
      </c>
      <c r="G141" s="38"/>
      <c r="H141" s="38"/>
      <c r="I141" s="38"/>
      <c r="J141" s="36"/>
      <c r="K141" s="29"/>
      <c r="L141" s="29"/>
      <c r="M141" s="31"/>
      <c r="N141" s="40">
        <f t="shared" si="16"/>
        <v>0</v>
      </c>
      <c r="P141" s="4" t="str">
        <f t="shared" si="17"/>
        <v/>
      </c>
      <c r="Q141" s="4" t="str">
        <f t="shared" si="18"/>
        <v/>
      </c>
      <c r="R141" s="4" t="str">
        <f t="shared" si="19"/>
        <v>/</v>
      </c>
      <c r="S141" s="4" t="str">
        <f t="shared" si="20"/>
        <v/>
      </c>
    </row>
    <row r="142" spans="1:19" x14ac:dyDescent="0.35">
      <c r="A142" s="54"/>
      <c r="B142" s="57"/>
      <c r="C142" s="60"/>
      <c r="D142" s="7" t="str">
        <f t="shared" si="14"/>
        <v/>
      </c>
      <c r="E142" s="63" t="str">
        <f>IF(OR(C142="",A142=""),"",IF(A142&lt;'Page de garde'!$G$7,IF(VALUE(RIGHT(C142,2))&lt;50,66,86),INDEX(EC!$C$2:$C$677,MATCH(C142,EC,0))))</f>
        <v/>
      </c>
      <c r="F142" s="33" t="str">
        <f t="shared" si="15"/>
        <v/>
      </c>
      <c r="G142" s="38"/>
      <c r="H142" s="38"/>
      <c r="I142" s="38"/>
      <c r="J142" s="36"/>
      <c r="K142" s="29"/>
      <c r="L142" s="29"/>
      <c r="M142" s="31"/>
      <c r="N142" s="40">
        <f t="shared" si="16"/>
        <v>0</v>
      </c>
      <c r="P142" s="4" t="str">
        <f t="shared" si="17"/>
        <v/>
      </c>
      <c r="Q142" s="4" t="str">
        <f t="shared" si="18"/>
        <v/>
      </c>
      <c r="R142" s="4" t="str">
        <f t="shared" si="19"/>
        <v>/</v>
      </c>
      <c r="S142" s="4" t="str">
        <f t="shared" si="20"/>
        <v/>
      </c>
    </row>
    <row r="143" spans="1:19" x14ac:dyDescent="0.35">
      <c r="A143" s="54"/>
      <c r="B143" s="57"/>
      <c r="C143" s="60"/>
      <c r="D143" s="7" t="str">
        <f t="shared" si="14"/>
        <v/>
      </c>
      <c r="E143" s="63" t="str">
        <f>IF(OR(C143="",A143=""),"",IF(A143&lt;'Page de garde'!$G$7,IF(VALUE(RIGHT(C143,2))&lt;50,66,86),INDEX(EC!$C$2:$C$677,MATCH(C143,EC,0))))</f>
        <v/>
      </c>
      <c r="F143" s="33" t="str">
        <f t="shared" si="15"/>
        <v/>
      </c>
      <c r="G143" s="38"/>
      <c r="H143" s="38"/>
      <c r="I143" s="38"/>
      <c r="J143" s="36"/>
      <c r="K143" s="29"/>
      <c r="L143" s="29"/>
      <c r="M143" s="31"/>
      <c r="N143" s="40">
        <f t="shared" si="16"/>
        <v>0</v>
      </c>
      <c r="P143" s="4" t="str">
        <f t="shared" si="17"/>
        <v/>
      </c>
      <c r="Q143" s="4" t="str">
        <f t="shared" si="18"/>
        <v/>
      </c>
      <c r="R143" s="4" t="str">
        <f t="shared" si="19"/>
        <v>/</v>
      </c>
      <c r="S143" s="4" t="str">
        <f t="shared" si="20"/>
        <v/>
      </c>
    </row>
    <row r="144" spans="1:19" x14ac:dyDescent="0.35">
      <c r="A144" s="54"/>
      <c r="B144" s="57"/>
      <c r="C144" s="60"/>
      <c r="D144" s="7" t="str">
        <f t="shared" si="14"/>
        <v/>
      </c>
      <c r="E144" s="63" t="str">
        <f>IF(OR(C144="",A144=""),"",IF(A144&lt;'Page de garde'!$G$7,IF(VALUE(RIGHT(C144,2))&lt;50,66,86),INDEX(EC!$C$2:$C$677,MATCH(C144,EC,0))))</f>
        <v/>
      </c>
      <c r="F144" s="33" t="str">
        <f t="shared" si="15"/>
        <v/>
      </c>
      <c r="G144" s="38"/>
      <c r="H144" s="38"/>
      <c r="I144" s="38"/>
      <c r="J144" s="36"/>
      <c r="K144" s="29"/>
      <c r="L144" s="29"/>
      <c r="M144" s="31"/>
      <c r="N144" s="40">
        <f t="shared" si="16"/>
        <v>0</v>
      </c>
      <c r="P144" s="4" t="str">
        <f t="shared" si="17"/>
        <v/>
      </c>
      <c r="Q144" s="4" t="str">
        <f t="shared" si="18"/>
        <v/>
      </c>
      <c r="R144" s="4" t="str">
        <f t="shared" si="19"/>
        <v>/</v>
      </c>
      <c r="S144" s="4" t="str">
        <f t="shared" si="20"/>
        <v/>
      </c>
    </row>
    <row r="145" spans="1:19" x14ac:dyDescent="0.35">
      <c r="A145" s="54"/>
      <c r="B145" s="57"/>
      <c r="C145" s="60"/>
      <c r="D145" s="7" t="str">
        <f t="shared" si="14"/>
        <v/>
      </c>
      <c r="E145" s="63" t="str">
        <f>IF(OR(C145="",A145=""),"",IF(A145&lt;'Page de garde'!$G$7,IF(VALUE(RIGHT(C145,2))&lt;50,66,86),INDEX(EC!$C$2:$C$677,MATCH(C145,EC,0))))</f>
        <v/>
      </c>
      <c r="F145" s="33" t="str">
        <f t="shared" si="15"/>
        <v/>
      </c>
      <c r="G145" s="38"/>
      <c r="H145" s="38"/>
      <c r="I145" s="38"/>
      <c r="J145" s="36"/>
      <c r="K145" s="29"/>
      <c r="L145" s="29"/>
      <c r="M145" s="31"/>
      <c r="N145" s="40">
        <f t="shared" si="16"/>
        <v>0</v>
      </c>
      <c r="P145" s="4" t="str">
        <f t="shared" si="17"/>
        <v/>
      </c>
      <c r="Q145" s="4" t="str">
        <f t="shared" si="18"/>
        <v/>
      </c>
      <c r="R145" s="4" t="str">
        <f t="shared" si="19"/>
        <v>/</v>
      </c>
      <c r="S145" s="4" t="str">
        <f t="shared" si="20"/>
        <v/>
      </c>
    </row>
    <row r="146" spans="1:19" x14ac:dyDescent="0.35">
      <c r="A146" s="54"/>
      <c r="B146" s="57"/>
      <c r="C146" s="60"/>
      <c r="D146" s="7" t="str">
        <f t="shared" si="14"/>
        <v/>
      </c>
      <c r="E146" s="63" t="str">
        <f>IF(OR(C146="",A146=""),"",IF(A146&lt;'Page de garde'!$G$7,IF(VALUE(RIGHT(C146,2))&lt;50,66,86),INDEX(EC!$C$2:$C$677,MATCH(C146,EC,0))))</f>
        <v/>
      </c>
      <c r="F146" s="33" t="str">
        <f t="shared" si="15"/>
        <v/>
      </c>
      <c r="G146" s="38"/>
      <c r="H146" s="38"/>
      <c r="I146" s="38"/>
      <c r="J146" s="36"/>
      <c r="K146" s="29"/>
      <c r="L146" s="29"/>
      <c r="M146" s="31"/>
      <c r="N146" s="40">
        <f t="shared" si="16"/>
        <v>0</v>
      </c>
      <c r="P146" s="4" t="str">
        <f t="shared" si="17"/>
        <v/>
      </c>
      <c r="Q146" s="4" t="str">
        <f t="shared" si="18"/>
        <v/>
      </c>
      <c r="R146" s="4" t="str">
        <f t="shared" si="19"/>
        <v>/</v>
      </c>
      <c r="S146" s="4" t="str">
        <f t="shared" si="20"/>
        <v/>
      </c>
    </row>
    <row r="147" spans="1:19" x14ac:dyDescent="0.35">
      <c r="A147" s="54"/>
      <c r="B147" s="57"/>
      <c r="C147" s="60"/>
      <c r="D147" s="7" t="str">
        <f t="shared" si="14"/>
        <v/>
      </c>
      <c r="E147" s="63" t="str">
        <f>IF(OR(C147="",A147=""),"",IF(A147&lt;'Page de garde'!$G$7,IF(VALUE(RIGHT(C147,2))&lt;50,66,86),INDEX(EC!$C$2:$C$677,MATCH(C147,EC,0))))</f>
        <v/>
      </c>
      <c r="F147" s="33" t="str">
        <f t="shared" si="15"/>
        <v/>
      </c>
      <c r="G147" s="38"/>
      <c r="H147" s="38"/>
      <c r="I147" s="38"/>
      <c r="J147" s="36"/>
      <c r="K147" s="29"/>
      <c r="L147" s="29"/>
      <c r="M147" s="31"/>
      <c r="N147" s="40">
        <f t="shared" si="16"/>
        <v>0</v>
      </c>
      <c r="P147" s="4" t="str">
        <f t="shared" si="17"/>
        <v/>
      </c>
      <c r="Q147" s="4" t="str">
        <f t="shared" si="18"/>
        <v/>
      </c>
      <c r="R147" s="4" t="str">
        <f t="shared" si="19"/>
        <v>/</v>
      </c>
      <c r="S147" s="4" t="str">
        <f t="shared" si="20"/>
        <v/>
      </c>
    </row>
    <row r="148" spans="1:19" x14ac:dyDescent="0.35">
      <c r="A148" s="54"/>
      <c r="B148" s="57"/>
      <c r="C148" s="60"/>
      <c r="D148" s="7" t="str">
        <f t="shared" si="14"/>
        <v/>
      </c>
      <c r="E148" s="63" t="str">
        <f>IF(OR(C148="",A148=""),"",IF(A148&lt;'Page de garde'!$G$7,IF(VALUE(RIGHT(C148,2))&lt;50,66,86),INDEX(EC!$C$2:$C$677,MATCH(C148,EC,0))))</f>
        <v/>
      </c>
      <c r="F148" s="33" t="str">
        <f t="shared" si="15"/>
        <v/>
      </c>
      <c r="G148" s="38"/>
      <c r="H148" s="38"/>
      <c r="I148" s="38"/>
      <c r="J148" s="36"/>
      <c r="K148" s="29"/>
      <c r="L148" s="29"/>
      <c r="M148" s="31"/>
      <c r="N148" s="40">
        <f t="shared" si="16"/>
        <v>0</v>
      </c>
      <c r="P148" s="4" t="str">
        <f t="shared" si="17"/>
        <v/>
      </c>
      <c r="Q148" s="4" t="str">
        <f t="shared" si="18"/>
        <v/>
      </c>
      <c r="R148" s="4" t="str">
        <f t="shared" si="19"/>
        <v>/</v>
      </c>
      <c r="S148" s="4" t="str">
        <f t="shared" si="20"/>
        <v/>
      </c>
    </row>
    <row r="149" spans="1:19" x14ac:dyDescent="0.35">
      <c r="A149" s="54"/>
      <c r="B149" s="57"/>
      <c r="C149" s="60"/>
      <c r="D149" s="7" t="str">
        <f t="shared" si="14"/>
        <v/>
      </c>
      <c r="E149" s="63" t="str">
        <f>IF(OR(C149="",A149=""),"",IF(A149&lt;'Page de garde'!$G$7,IF(VALUE(RIGHT(C149,2))&lt;50,66,86),INDEX(EC!$C$2:$C$677,MATCH(C149,EC,0))))</f>
        <v/>
      </c>
      <c r="F149" s="33" t="str">
        <f t="shared" si="15"/>
        <v/>
      </c>
      <c r="G149" s="38"/>
      <c r="H149" s="38"/>
      <c r="I149" s="38"/>
      <c r="J149" s="36"/>
      <c r="K149" s="29"/>
      <c r="L149" s="29"/>
      <c r="M149" s="31"/>
      <c r="N149" s="40">
        <f t="shared" si="16"/>
        <v>0</v>
      </c>
      <c r="P149" s="4" t="str">
        <f t="shared" si="17"/>
        <v/>
      </c>
      <c r="Q149" s="4" t="str">
        <f t="shared" si="18"/>
        <v/>
      </c>
      <c r="R149" s="4" t="str">
        <f t="shared" si="19"/>
        <v>/</v>
      </c>
      <c r="S149" s="4" t="str">
        <f t="shared" si="20"/>
        <v/>
      </c>
    </row>
    <row r="150" spans="1:19" x14ac:dyDescent="0.35">
      <c r="A150" s="54"/>
      <c r="B150" s="57"/>
      <c r="C150" s="60"/>
      <c r="D150" s="7" t="str">
        <f t="shared" si="14"/>
        <v/>
      </c>
      <c r="E150" s="63" t="str">
        <f>IF(OR(C150="",A150=""),"",IF(A150&lt;'Page de garde'!$G$7,IF(VALUE(RIGHT(C150,2))&lt;50,66,86),INDEX(EC!$C$2:$C$677,MATCH(C150,EC,0))))</f>
        <v/>
      </c>
      <c r="F150" s="33" t="str">
        <f t="shared" si="15"/>
        <v/>
      </c>
      <c r="G150" s="38"/>
      <c r="H150" s="38"/>
      <c r="I150" s="38"/>
      <c r="J150" s="36"/>
      <c r="K150" s="29"/>
      <c r="L150" s="29"/>
      <c r="M150" s="31"/>
      <c r="N150" s="40">
        <f t="shared" si="16"/>
        <v>0</v>
      </c>
      <c r="P150" s="4" t="str">
        <f t="shared" si="17"/>
        <v/>
      </c>
      <c r="Q150" s="4" t="str">
        <f t="shared" si="18"/>
        <v/>
      </c>
      <c r="R150" s="4" t="str">
        <f t="shared" si="19"/>
        <v>/</v>
      </c>
      <c r="S150" s="4" t="str">
        <f t="shared" si="20"/>
        <v/>
      </c>
    </row>
    <row r="151" spans="1:19" x14ac:dyDescent="0.35">
      <c r="A151" s="54"/>
      <c r="B151" s="57"/>
      <c r="C151" s="60"/>
      <c r="D151" s="7" t="str">
        <f t="shared" si="14"/>
        <v/>
      </c>
      <c r="E151" s="63" t="str">
        <f>IF(OR(C151="",A151=""),"",IF(A151&lt;'Page de garde'!$G$7,IF(VALUE(RIGHT(C151,2))&lt;50,66,86),INDEX(EC!$C$2:$C$677,MATCH(C151,EC,0))))</f>
        <v/>
      </c>
      <c r="F151" s="33" t="str">
        <f t="shared" si="15"/>
        <v/>
      </c>
      <c r="G151" s="38"/>
      <c r="H151" s="38"/>
      <c r="I151" s="38"/>
      <c r="J151" s="36"/>
      <c r="K151" s="29"/>
      <c r="L151" s="29"/>
      <c r="M151" s="31"/>
      <c r="N151" s="40">
        <f t="shared" si="16"/>
        <v>0</v>
      </c>
      <c r="P151" s="4" t="str">
        <f t="shared" si="17"/>
        <v/>
      </c>
      <c r="Q151" s="4" t="str">
        <f t="shared" si="18"/>
        <v/>
      </c>
      <c r="R151" s="4" t="str">
        <f t="shared" si="19"/>
        <v>/</v>
      </c>
      <c r="S151" s="4" t="str">
        <f t="shared" si="20"/>
        <v/>
      </c>
    </row>
    <row r="152" spans="1:19" x14ac:dyDescent="0.35">
      <c r="A152" s="54"/>
      <c r="B152" s="57"/>
      <c r="C152" s="60"/>
      <c r="D152" s="7" t="str">
        <f t="shared" si="14"/>
        <v/>
      </c>
      <c r="E152" s="63" t="str">
        <f>IF(OR(C152="",A152=""),"",IF(A152&lt;'Page de garde'!$G$7,IF(VALUE(RIGHT(C152,2))&lt;50,66,86),INDEX(EC!$C$2:$C$677,MATCH(C152,EC,0))))</f>
        <v/>
      </c>
      <c r="F152" s="33" t="str">
        <f t="shared" si="15"/>
        <v/>
      </c>
      <c r="G152" s="38"/>
      <c r="H152" s="38"/>
      <c r="I152" s="38"/>
      <c r="J152" s="36"/>
      <c r="K152" s="29"/>
      <c r="L152" s="29"/>
      <c r="M152" s="31"/>
      <c r="N152" s="40">
        <f t="shared" si="16"/>
        <v>0</v>
      </c>
      <c r="P152" s="4" t="str">
        <f t="shared" si="17"/>
        <v/>
      </c>
      <c r="Q152" s="4" t="str">
        <f t="shared" si="18"/>
        <v/>
      </c>
      <c r="R152" s="4" t="str">
        <f t="shared" si="19"/>
        <v>/</v>
      </c>
      <c r="S152" s="4" t="str">
        <f t="shared" si="20"/>
        <v/>
      </c>
    </row>
    <row r="153" spans="1:19" x14ac:dyDescent="0.35">
      <c r="A153" s="54"/>
      <c r="B153" s="57"/>
      <c r="C153" s="60"/>
      <c r="D153" s="7" t="str">
        <f t="shared" si="14"/>
        <v/>
      </c>
      <c r="E153" s="63" t="str">
        <f>IF(OR(C153="",A153=""),"",IF(A153&lt;'Page de garde'!$G$7,IF(VALUE(RIGHT(C153,2))&lt;50,66,86),INDEX(EC!$C$2:$C$677,MATCH(C153,EC,0))))</f>
        <v/>
      </c>
      <c r="F153" s="33" t="str">
        <f t="shared" si="15"/>
        <v/>
      </c>
      <c r="G153" s="38"/>
      <c r="H153" s="38"/>
      <c r="I153" s="38"/>
      <c r="J153" s="36"/>
      <c r="K153" s="29"/>
      <c r="L153" s="29"/>
      <c r="M153" s="31"/>
      <c r="N153" s="40">
        <f t="shared" si="16"/>
        <v>0</v>
      </c>
      <c r="P153" s="4" t="str">
        <f t="shared" si="17"/>
        <v/>
      </c>
      <c r="Q153" s="4" t="str">
        <f t="shared" si="18"/>
        <v/>
      </c>
      <c r="R153" s="4" t="str">
        <f t="shared" si="19"/>
        <v>/</v>
      </c>
      <c r="S153" s="4" t="str">
        <f t="shared" si="20"/>
        <v/>
      </c>
    </row>
    <row r="154" spans="1:19" x14ac:dyDescent="0.35">
      <c r="A154" s="54"/>
      <c r="B154" s="57"/>
      <c r="C154" s="60"/>
      <c r="D154" s="7" t="str">
        <f t="shared" si="14"/>
        <v/>
      </c>
      <c r="E154" s="63" t="str">
        <f>IF(OR(C154="",A154=""),"",IF(A154&lt;'Page de garde'!$G$7,IF(VALUE(RIGHT(C154,2))&lt;50,66,86),INDEX(EC!$C$2:$C$677,MATCH(C154,EC,0))))</f>
        <v/>
      </c>
      <c r="F154" s="33" t="str">
        <f t="shared" si="15"/>
        <v/>
      </c>
      <c r="G154" s="38"/>
      <c r="H154" s="38"/>
      <c r="I154" s="38"/>
      <c r="J154" s="36"/>
      <c r="K154" s="29"/>
      <c r="L154" s="29"/>
      <c r="M154" s="31"/>
      <c r="N154" s="40">
        <f t="shared" si="16"/>
        <v>0</v>
      </c>
      <c r="P154" s="4" t="str">
        <f t="shared" si="17"/>
        <v/>
      </c>
      <c r="Q154" s="4" t="str">
        <f t="shared" si="18"/>
        <v/>
      </c>
      <c r="R154" s="4" t="str">
        <f t="shared" si="19"/>
        <v>/</v>
      </c>
      <c r="S154" s="4" t="str">
        <f t="shared" si="20"/>
        <v/>
      </c>
    </row>
    <row r="155" spans="1:19" x14ac:dyDescent="0.35">
      <c r="A155" s="54"/>
      <c r="B155" s="57"/>
      <c r="C155" s="60"/>
      <c r="D155" s="7" t="str">
        <f t="shared" si="14"/>
        <v/>
      </c>
      <c r="E155" s="63" t="str">
        <f>IF(OR(C155="",A155=""),"",IF(A155&lt;'Page de garde'!$G$7,IF(VALUE(RIGHT(C155,2))&lt;50,66,86),INDEX(EC!$C$2:$C$677,MATCH(C155,EC,0))))</f>
        <v/>
      </c>
      <c r="F155" s="33" t="str">
        <f t="shared" si="15"/>
        <v/>
      </c>
      <c r="G155" s="38"/>
      <c r="H155" s="38"/>
      <c r="I155" s="38"/>
      <c r="J155" s="36"/>
      <c r="K155" s="29"/>
      <c r="L155" s="29"/>
      <c r="M155" s="31"/>
      <c r="N155" s="40">
        <f t="shared" si="16"/>
        <v>0</v>
      </c>
      <c r="P155" s="4" t="str">
        <f t="shared" si="17"/>
        <v/>
      </c>
      <c r="Q155" s="4" t="str">
        <f t="shared" si="18"/>
        <v/>
      </c>
      <c r="R155" s="4" t="str">
        <f t="shared" si="19"/>
        <v>/</v>
      </c>
      <c r="S155" s="4" t="str">
        <f t="shared" si="20"/>
        <v/>
      </c>
    </row>
    <row r="156" spans="1:19" x14ac:dyDescent="0.35">
      <c r="A156" s="54"/>
      <c r="B156" s="57"/>
      <c r="C156" s="60"/>
      <c r="D156" s="7" t="str">
        <f t="shared" si="14"/>
        <v/>
      </c>
      <c r="E156" s="63" t="str">
        <f>IF(OR(C156="",A156=""),"",IF(A156&lt;'Page de garde'!$G$7,IF(VALUE(RIGHT(C156,2))&lt;50,66,86),INDEX(EC!$C$2:$C$677,MATCH(C156,EC,0))))</f>
        <v/>
      </c>
      <c r="F156" s="33" t="str">
        <f t="shared" si="15"/>
        <v/>
      </c>
      <c r="G156" s="38"/>
      <c r="H156" s="38"/>
      <c r="I156" s="38"/>
      <c r="J156" s="36"/>
      <c r="K156" s="29"/>
      <c r="L156" s="29"/>
      <c r="M156" s="31"/>
      <c r="N156" s="40">
        <f t="shared" si="16"/>
        <v>0</v>
      </c>
      <c r="P156" s="4" t="str">
        <f t="shared" si="17"/>
        <v/>
      </c>
      <c r="Q156" s="4" t="str">
        <f t="shared" si="18"/>
        <v/>
      </c>
      <c r="R156" s="4" t="str">
        <f t="shared" si="19"/>
        <v>/</v>
      </c>
      <c r="S156" s="4" t="str">
        <f t="shared" si="20"/>
        <v/>
      </c>
    </row>
    <row r="157" spans="1:19" x14ac:dyDescent="0.35">
      <c r="A157" s="54"/>
      <c r="B157" s="57"/>
      <c r="C157" s="60"/>
      <c r="D157" s="7" t="str">
        <f t="shared" si="14"/>
        <v/>
      </c>
      <c r="E157" s="63" t="str">
        <f>IF(OR(C157="",A157=""),"",IF(A157&lt;'Page de garde'!$G$7,IF(VALUE(RIGHT(C157,2))&lt;50,66,86),INDEX(EC!$C$2:$C$677,MATCH(C157,EC,0))))</f>
        <v/>
      </c>
      <c r="F157" s="33" t="str">
        <f t="shared" si="15"/>
        <v/>
      </c>
      <c r="G157" s="38"/>
      <c r="H157" s="38"/>
      <c r="I157" s="38"/>
      <c r="J157" s="36"/>
      <c r="K157" s="29"/>
      <c r="L157" s="29"/>
      <c r="M157" s="31"/>
      <c r="N157" s="40">
        <f t="shared" si="16"/>
        <v>0</v>
      </c>
      <c r="P157" s="4" t="str">
        <f t="shared" si="17"/>
        <v/>
      </c>
      <c r="Q157" s="4" t="str">
        <f t="shared" si="18"/>
        <v/>
      </c>
      <c r="R157" s="4" t="str">
        <f t="shared" si="19"/>
        <v>/</v>
      </c>
      <c r="S157" s="4" t="str">
        <f t="shared" si="20"/>
        <v/>
      </c>
    </row>
    <row r="158" spans="1:19" x14ac:dyDescent="0.35">
      <c r="A158" s="54"/>
      <c r="B158" s="57"/>
      <c r="C158" s="60"/>
      <c r="D158" s="7" t="str">
        <f t="shared" si="14"/>
        <v/>
      </c>
      <c r="E158" s="63" t="str">
        <f>IF(OR(C158="",A158=""),"",IF(A158&lt;'Page de garde'!$G$7,IF(VALUE(RIGHT(C158,2))&lt;50,66,86),INDEX(EC!$C$2:$C$677,MATCH(C158,EC,0))))</f>
        <v/>
      </c>
      <c r="F158" s="33" t="str">
        <f t="shared" si="15"/>
        <v/>
      </c>
      <c r="G158" s="38"/>
      <c r="H158" s="38"/>
      <c r="I158" s="38"/>
      <c r="J158" s="36"/>
      <c r="K158" s="29"/>
      <c r="L158" s="29"/>
      <c r="M158" s="31"/>
      <c r="N158" s="40">
        <f t="shared" si="16"/>
        <v>0</v>
      </c>
      <c r="P158" s="4" t="str">
        <f t="shared" si="17"/>
        <v/>
      </c>
      <c r="Q158" s="4" t="str">
        <f t="shared" si="18"/>
        <v/>
      </c>
      <c r="R158" s="4" t="str">
        <f t="shared" si="19"/>
        <v>/</v>
      </c>
      <c r="S158" s="4" t="str">
        <f t="shared" si="20"/>
        <v/>
      </c>
    </row>
    <row r="159" spans="1:19" x14ac:dyDescent="0.35">
      <c r="A159" s="54"/>
      <c r="B159" s="57"/>
      <c r="C159" s="60"/>
      <c r="D159" s="7" t="str">
        <f t="shared" si="14"/>
        <v/>
      </c>
      <c r="E159" s="63" t="str">
        <f>IF(OR(C159="",A159=""),"",IF(A159&lt;'Page de garde'!$G$7,IF(VALUE(RIGHT(C159,2))&lt;50,66,86),INDEX(EC!$C$2:$C$677,MATCH(C159,EC,0))))</f>
        <v/>
      </c>
      <c r="F159" s="33" t="str">
        <f t="shared" si="15"/>
        <v/>
      </c>
      <c r="G159" s="38"/>
      <c r="H159" s="38"/>
      <c r="I159" s="38"/>
      <c r="J159" s="36"/>
      <c r="K159" s="29"/>
      <c r="L159" s="29"/>
      <c r="M159" s="31"/>
      <c r="N159" s="40">
        <f t="shared" si="16"/>
        <v>0</v>
      </c>
      <c r="P159" s="4" t="str">
        <f t="shared" si="17"/>
        <v/>
      </c>
      <c r="Q159" s="4" t="str">
        <f t="shared" si="18"/>
        <v/>
      </c>
      <c r="R159" s="4" t="str">
        <f t="shared" si="19"/>
        <v>/</v>
      </c>
      <c r="S159" s="4" t="str">
        <f t="shared" si="20"/>
        <v/>
      </c>
    </row>
    <row r="160" spans="1:19" x14ac:dyDescent="0.35">
      <c r="A160" s="54"/>
      <c r="B160" s="57"/>
      <c r="C160" s="60"/>
      <c r="D160" s="7" t="str">
        <f t="shared" si="14"/>
        <v/>
      </c>
      <c r="E160" s="63" t="str">
        <f>IF(OR(C160="",A160=""),"",IF(A160&lt;'Page de garde'!$G$7,IF(VALUE(RIGHT(C160,2))&lt;50,66,86),INDEX(EC!$C$2:$C$677,MATCH(C160,EC,0))))</f>
        <v/>
      </c>
      <c r="F160" s="33" t="str">
        <f t="shared" si="15"/>
        <v/>
      </c>
      <c r="G160" s="38"/>
      <c r="H160" s="38"/>
      <c r="I160" s="38"/>
      <c r="J160" s="36"/>
      <c r="K160" s="29"/>
      <c r="L160" s="29"/>
      <c r="M160" s="31"/>
      <c r="N160" s="40">
        <f t="shared" si="16"/>
        <v>0</v>
      </c>
      <c r="P160" s="4" t="str">
        <f t="shared" si="17"/>
        <v/>
      </c>
      <c r="Q160" s="4" t="str">
        <f t="shared" si="18"/>
        <v/>
      </c>
      <c r="R160" s="4" t="str">
        <f t="shared" si="19"/>
        <v>/</v>
      </c>
      <c r="S160" s="4" t="str">
        <f t="shared" si="20"/>
        <v/>
      </c>
    </row>
    <row r="161" spans="1:19" x14ac:dyDescent="0.35">
      <c r="A161" s="54"/>
      <c r="B161" s="57"/>
      <c r="C161" s="60"/>
      <c r="D161" s="7" t="str">
        <f t="shared" si="14"/>
        <v/>
      </c>
      <c r="E161" s="63" t="str">
        <f>IF(OR(C161="",A161=""),"",IF(A161&lt;'Page de garde'!$G$7,IF(VALUE(RIGHT(C161,2))&lt;50,66,86),INDEX(EC!$C$2:$C$677,MATCH(C161,EC,0))))</f>
        <v/>
      </c>
      <c r="F161" s="33" t="str">
        <f t="shared" si="15"/>
        <v/>
      </c>
      <c r="G161" s="38"/>
      <c r="H161" s="38"/>
      <c r="I161" s="38"/>
      <c r="J161" s="36"/>
      <c r="K161" s="29"/>
      <c r="L161" s="29"/>
      <c r="M161" s="31"/>
      <c r="N161" s="40">
        <f t="shared" si="16"/>
        <v>0</v>
      </c>
      <c r="P161" s="4" t="str">
        <f t="shared" si="17"/>
        <v/>
      </c>
      <c r="Q161" s="4" t="str">
        <f t="shared" si="18"/>
        <v/>
      </c>
      <c r="R161" s="4" t="str">
        <f t="shared" si="19"/>
        <v>/</v>
      </c>
      <c r="S161" s="4" t="str">
        <f t="shared" si="20"/>
        <v/>
      </c>
    </row>
    <row r="162" spans="1:19" x14ac:dyDescent="0.35">
      <c r="A162" s="54"/>
      <c r="B162" s="57"/>
      <c r="C162" s="60"/>
      <c r="D162" s="7" t="str">
        <f t="shared" si="14"/>
        <v/>
      </c>
      <c r="E162" s="63" t="str">
        <f>IF(OR(C162="",A162=""),"",IF(A162&lt;'Page de garde'!$G$7,IF(VALUE(RIGHT(C162,2))&lt;50,66,86),INDEX(EC!$C$2:$C$677,MATCH(C162,EC,0))))</f>
        <v/>
      </c>
      <c r="F162" s="33" t="str">
        <f t="shared" si="15"/>
        <v/>
      </c>
      <c r="G162" s="38"/>
      <c r="H162" s="38"/>
      <c r="I162" s="38"/>
      <c r="J162" s="36"/>
      <c r="K162" s="29"/>
      <c r="L162" s="29"/>
      <c r="M162" s="31"/>
      <c r="N162" s="40">
        <f t="shared" si="16"/>
        <v>0</v>
      </c>
      <c r="P162" s="4" t="str">
        <f t="shared" si="17"/>
        <v/>
      </c>
      <c r="Q162" s="4" t="str">
        <f t="shared" si="18"/>
        <v/>
      </c>
      <c r="R162" s="4" t="str">
        <f t="shared" si="19"/>
        <v>/</v>
      </c>
      <c r="S162" s="4" t="str">
        <f t="shared" si="20"/>
        <v/>
      </c>
    </row>
    <row r="163" spans="1:19" x14ac:dyDescent="0.35">
      <c r="A163" s="54"/>
      <c r="B163" s="57"/>
      <c r="C163" s="60"/>
      <c r="D163" s="7" t="str">
        <f t="shared" si="14"/>
        <v/>
      </c>
      <c r="E163" s="63" t="str">
        <f>IF(OR(C163="",A163=""),"",IF(A163&lt;'Page de garde'!$G$7,IF(VALUE(RIGHT(C163,2))&lt;50,66,86),INDEX(EC!$C$2:$C$677,MATCH(C163,EC,0))))</f>
        <v/>
      </c>
      <c r="F163" s="33" t="str">
        <f t="shared" si="15"/>
        <v/>
      </c>
      <c r="G163" s="38"/>
      <c r="H163" s="38"/>
      <c r="I163" s="38"/>
      <c r="J163" s="36"/>
      <c r="K163" s="29"/>
      <c r="L163" s="29"/>
      <c r="M163" s="31"/>
      <c r="N163" s="40">
        <f t="shared" si="16"/>
        <v>0</v>
      </c>
      <c r="P163" s="4" t="str">
        <f t="shared" si="17"/>
        <v/>
      </c>
      <c r="Q163" s="4" t="str">
        <f t="shared" si="18"/>
        <v/>
      </c>
      <c r="R163" s="4" t="str">
        <f t="shared" si="19"/>
        <v>/</v>
      </c>
      <c r="S163" s="4" t="str">
        <f t="shared" si="20"/>
        <v/>
      </c>
    </row>
    <row r="164" spans="1:19" x14ac:dyDescent="0.35">
      <c r="A164" s="54"/>
      <c r="B164" s="57"/>
      <c r="C164" s="60"/>
      <c r="D164" s="7" t="str">
        <f t="shared" si="14"/>
        <v/>
      </c>
      <c r="E164" s="63" t="str">
        <f>IF(OR(C164="",A164=""),"",IF(A164&lt;'Page de garde'!$G$7,IF(VALUE(RIGHT(C164,2))&lt;50,66,86),INDEX(EC!$C$2:$C$677,MATCH(C164,EC,0))))</f>
        <v/>
      </c>
      <c r="F164" s="33" t="str">
        <f t="shared" si="15"/>
        <v/>
      </c>
      <c r="G164" s="38"/>
      <c r="H164" s="38"/>
      <c r="I164" s="38"/>
      <c r="J164" s="36"/>
      <c r="K164" s="29"/>
      <c r="L164" s="29"/>
      <c r="M164" s="31"/>
      <c r="N164" s="40">
        <f t="shared" si="16"/>
        <v>0</v>
      </c>
      <c r="P164" s="4" t="str">
        <f t="shared" si="17"/>
        <v/>
      </c>
      <c r="Q164" s="4" t="str">
        <f t="shared" si="18"/>
        <v/>
      </c>
      <c r="R164" s="4" t="str">
        <f t="shared" si="19"/>
        <v>/</v>
      </c>
      <c r="S164" s="4" t="str">
        <f t="shared" si="20"/>
        <v/>
      </c>
    </row>
    <row r="165" spans="1:19" x14ac:dyDescent="0.35">
      <c r="A165" s="54"/>
      <c r="B165" s="57"/>
      <c r="C165" s="60"/>
      <c r="D165" s="7" t="str">
        <f t="shared" si="14"/>
        <v/>
      </c>
      <c r="E165" s="63" t="str">
        <f>IF(OR(C165="",A165=""),"",IF(A165&lt;'Page de garde'!$G$7,IF(VALUE(RIGHT(C165,2))&lt;50,66,86),INDEX(EC!$C$2:$C$677,MATCH(C165,EC,0))))</f>
        <v/>
      </c>
      <c r="F165" s="33" t="str">
        <f t="shared" si="15"/>
        <v/>
      </c>
      <c r="G165" s="38"/>
      <c r="H165" s="38"/>
      <c r="I165" s="38"/>
      <c r="J165" s="36"/>
      <c r="K165" s="29"/>
      <c r="L165" s="29"/>
      <c r="M165" s="31"/>
      <c r="N165" s="40">
        <f t="shared" si="16"/>
        <v>0</v>
      </c>
      <c r="P165" s="4" t="str">
        <f t="shared" si="17"/>
        <v/>
      </c>
      <c r="Q165" s="4" t="str">
        <f t="shared" si="18"/>
        <v/>
      </c>
      <c r="R165" s="4" t="str">
        <f t="shared" si="19"/>
        <v>/</v>
      </c>
      <c r="S165" s="4" t="str">
        <f t="shared" si="20"/>
        <v/>
      </c>
    </row>
    <row r="166" spans="1:19" x14ac:dyDescent="0.35">
      <c r="A166" s="54"/>
      <c r="B166" s="57"/>
      <c r="C166" s="60"/>
      <c r="D166" s="7" t="str">
        <f t="shared" si="14"/>
        <v/>
      </c>
      <c r="E166" s="63" t="str">
        <f>IF(OR(C166="",A166=""),"",IF(A166&lt;'Page de garde'!$G$7,IF(VALUE(RIGHT(C166,2))&lt;50,66,86),INDEX(EC!$C$2:$C$677,MATCH(C166,EC,0))))</f>
        <v/>
      </c>
      <c r="F166" s="33" t="str">
        <f t="shared" si="15"/>
        <v/>
      </c>
      <c r="G166" s="38"/>
      <c r="H166" s="38"/>
      <c r="I166" s="38"/>
      <c r="J166" s="36"/>
      <c r="K166" s="29"/>
      <c r="L166" s="29"/>
      <c r="M166" s="31"/>
      <c r="N166" s="40">
        <f t="shared" si="16"/>
        <v>0</v>
      </c>
      <c r="P166" s="4" t="str">
        <f t="shared" si="17"/>
        <v/>
      </c>
      <c r="Q166" s="4" t="str">
        <f t="shared" si="18"/>
        <v/>
      </c>
      <c r="R166" s="4" t="str">
        <f t="shared" si="19"/>
        <v>/</v>
      </c>
      <c r="S166" s="4" t="str">
        <f t="shared" si="20"/>
        <v/>
      </c>
    </row>
    <row r="167" spans="1:19" x14ac:dyDescent="0.35">
      <c r="A167" s="54"/>
      <c r="B167" s="57"/>
      <c r="C167" s="60"/>
      <c r="D167" s="7" t="str">
        <f t="shared" si="14"/>
        <v/>
      </c>
      <c r="E167" s="63" t="str">
        <f>IF(OR(C167="",A167=""),"",IF(A167&lt;'Page de garde'!$G$7,IF(VALUE(RIGHT(C167,2))&lt;50,66,86),INDEX(EC!$C$2:$C$677,MATCH(C167,EC,0))))</f>
        <v/>
      </c>
      <c r="F167" s="33" t="str">
        <f t="shared" si="15"/>
        <v/>
      </c>
      <c r="G167" s="38"/>
      <c r="H167" s="38"/>
      <c r="I167" s="38"/>
      <c r="J167" s="36"/>
      <c r="K167" s="29"/>
      <c r="L167" s="29"/>
      <c r="M167" s="31"/>
      <c r="N167" s="40">
        <f t="shared" si="16"/>
        <v>0</v>
      </c>
      <c r="P167" s="4" t="str">
        <f t="shared" si="17"/>
        <v/>
      </c>
      <c r="Q167" s="4" t="str">
        <f t="shared" si="18"/>
        <v/>
      </c>
      <c r="R167" s="4" t="str">
        <f t="shared" si="19"/>
        <v>/</v>
      </c>
      <c r="S167" s="4" t="str">
        <f t="shared" si="20"/>
        <v/>
      </c>
    </row>
    <row r="168" spans="1:19" x14ac:dyDescent="0.35">
      <c r="A168" s="54"/>
      <c r="B168" s="57"/>
      <c r="C168" s="60"/>
      <c r="D168" s="7" t="str">
        <f t="shared" si="14"/>
        <v/>
      </c>
      <c r="E168" s="63" t="str">
        <f>IF(OR(C168="",A168=""),"",IF(A168&lt;'Page de garde'!$G$7,IF(VALUE(RIGHT(C168,2))&lt;50,66,86),INDEX(EC!$C$2:$C$677,MATCH(C168,EC,0))))</f>
        <v/>
      </c>
      <c r="F168" s="33" t="str">
        <f t="shared" si="15"/>
        <v/>
      </c>
      <c r="G168" s="38"/>
      <c r="H168" s="38"/>
      <c r="I168" s="38"/>
      <c r="J168" s="36"/>
      <c r="K168" s="29"/>
      <c r="L168" s="29"/>
      <c r="M168" s="31"/>
      <c r="N168" s="40">
        <f t="shared" si="16"/>
        <v>0</v>
      </c>
      <c r="P168" s="4" t="str">
        <f t="shared" si="17"/>
        <v/>
      </c>
      <c r="Q168" s="4" t="str">
        <f t="shared" si="18"/>
        <v/>
      </c>
      <c r="R168" s="4" t="str">
        <f t="shared" si="19"/>
        <v>/</v>
      </c>
      <c r="S168" s="4" t="str">
        <f t="shared" si="20"/>
        <v/>
      </c>
    </row>
    <row r="169" spans="1:19" x14ac:dyDescent="0.35">
      <c r="A169" s="54"/>
      <c r="B169" s="57"/>
      <c r="C169" s="60"/>
      <c r="D169" s="7" t="str">
        <f t="shared" si="14"/>
        <v/>
      </c>
      <c r="E169" s="63" t="str">
        <f>IF(OR(C169="",A169=""),"",IF(A169&lt;'Page de garde'!$G$7,IF(VALUE(RIGHT(C169,2))&lt;50,66,86),INDEX(EC!$C$2:$C$677,MATCH(C169,EC,0))))</f>
        <v/>
      </c>
      <c r="F169" s="33" t="str">
        <f t="shared" si="15"/>
        <v/>
      </c>
      <c r="G169" s="38"/>
      <c r="H169" s="38"/>
      <c r="I169" s="38"/>
      <c r="J169" s="36"/>
      <c r="K169" s="29"/>
      <c r="L169" s="29"/>
      <c r="M169" s="31"/>
      <c r="N169" s="40">
        <f t="shared" si="16"/>
        <v>0</v>
      </c>
      <c r="P169" s="4" t="str">
        <f t="shared" si="17"/>
        <v/>
      </c>
      <c r="Q169" s="4" t="str">
        <f t="shared" si="18"/>
        <v/>
      </c>
      <c r="R169" s="4" t="str">
        <f t="shared" si="19"/>
        <v>/</v>
      </c>
      <c r="S169" s="4" t="str">
        <f t="shared" si="20"/>
        <v/>
      </c>
    </row>
    <row r="170" spans="1:19" x14ac:dyDescent="0.35">
      <c r="A170" s="54"/>
      <c r="B170" s="57"/>
      <c r="C170" s="60"/>
      <c r="D170" s="7" t="str">
        <f t="shared" si="14"/>
        <v/>
      </c>
      <c r="E170" s="63" t="str">
        <f>IF(OR(C170="",A170=""),"",IF(A170&lt;'Page de garde'!$G$7,IF(VALUE(RIGHT(C170,2))&lt;50,66,86),INDEX(EC!$C$2:$C$677,MATCH(C170,EC,0))))</f>
        <v/>
      </c>
      <c r="F170" s="33" t="str">
        <f t="shared" si="15"/>
        <v/>
      </c>
      <c r="G170" s="38"/>
      <c r="H170" s="38"/>
      <c r="I170" s="38"/>
      <c r="J170" s="36"/>
      <c r="K170" s="29"/>
      <c r="L170" s="29"/>
      <c r="M170" s="31"/>
      <c r="N170" s="40">
        <f t="shared" si="16"/>
        <v>0</v>
      </c>
      <c r="P170" s="4" t="str">
        <f t="shared" si="17"/>
        <v/>
      </c>
      <c r="Q170" s="4" t="str">
        <f t="shared" si="18"/>
        <v/>
      </c>
      <c r="R170" s="4" t="str">
        <f t="shared" si="19"/>
        <v>/</v>
      </c>
      <c r="S170" s="4" t="str">
        <f t="shared" si="20"/>
        <v/>
      </c>
    </row>
    <row r="171" spans="1:19" x14ac:dyDescent="0.35">
      <c r="A171" s="54"/>
      <c r="B171" s="57"/>
      <c r="C171" s="60"/>
      <c r="D171" s="7" t="str">
        <f t="shared" si="14"/>
        <v/>
      </c>
      <c r="E171" s="63" t="str">
        <f>IF(OR(C171="",A171=""),"",IF(A171&lt;'Page de garde'!$G$7,IF(VALUE(RIGHT(C171,2))&lt;50,66,86),INDEX(EC!$C$2:$C$677,MATCH(C171,EC,0))))</f>
        <v/>
      </c>
      <c r="F171" s="33" t="str">
        <f t="shared" si="15"/>
        <v/>
      </c>
      <c r="G171" s="38"/>
      <c r="H171" s="38"/>
      <c r="I171" s="38"/>
      <c r="J171" s="36"/>
      <c r="K171" s="29"/>
      <c r="L171" s="29"/>
      <c r="M171" s="31"/>
      <c r="N171" s="40">
        <f t="shared" si="16"/>
        <v>0</v>
      </c>
      <c r="P171" s="4" t="str">
        <f t="shared" si="17"/>
        <v/>
      </c>
      <c r="Q171" s="4" t="str">
        <f t="shared" si="18"/>
        <v/>
      </c>
      <c r="R171" s="4" t="str">
        <f t="shared" si="19"/>
        <v>/</v>
      </c>
      <c r="S171" s="4" t="str">
        <f t="shared" si="20"/>
        <v/>
      </c>
    </row>
    <row r="172" spans="1:19" x14ac:dyDescent="0.35">
      <c r="A172" s="54"/>
      <c r="B172" s="57"/>
      <c r="C172" s="60"/>
      <c r="D172" s="7" t="str">
        <f t="shared" si="14"/>
        <v/>
      </c>
      <c r="E172" s="63" t="str">
        <f>IF(OR(C172="",A172=""),"",IF(A172&lt;'Page de garde'!$G$7,IF(VALUE(RIGHT(C172,2))&lt;50,66,86),INDEX(EC!$C$2:$C$677,MATCH(C172,EC,0))))</f>
        <v/>
      </c>
      <c r="F172" s="33" t="str">
        <f t="shared" si="15"/>
        <v/>
      </c>
      <c r="G172" s="38"/>
      <c r="H172" s="38"/>
      <c r="I172" s="38"/>
      <c r="J172" s="36"/>
      <c r="K172" s="29"/>
      <c r="L172" s="29"/>
      <c r="M172" s="31"/>
      <c r="N172" s="40">
        <f t="shared" si="16"/>
        <v>0</v>
      </c>
      <c r="P172" s="4" t="str">
        <f t="shared" si="17"/>
        <v/>
      </c>
      <c r="Q172" s="4" t="str">
        <f t="shared" si="18"/>
        <v/>
      </c>
      <c r="R172" s="4" t="str">
        <f t="shared" si="19"/>
        <v>/</v>
      </c>
      <c r="S172" s="4" t="str">
        <f t="shared" si="20"/>
        <v/>
      </c>
    </row>
    <row r="173" spans="1:19" x14ac:dyDescent="0.35">
      <c r="A173" s="54"/>
      <c r="B173" s="57"/>
      <c r="C173" s="60"/>
      <c r="D173" s="7" t="str">
        <f t="shared" si="14"/>
        <v/>
      </c>
      <c r="E173" s="63" t="str">
        <f>IF(OR(C173="",A173=""),"",IF(A173&lt;'Page de garde'!$G$7,IF(VALUE(RIGHT(C173,2))&lt;50,66,86),INDEX(EC!$C$2:$C$677,MATCH(C173,EC,0))))</f>
        <v/>
      </c>
      <c r="F173" s="33" t="str">
        <f t="shared" si="15"/>
        <v/>
      </c>
      <c r="G173" s="38"/>
      <c r="H173" s="38"/>
      <c r="I173" s="38"/>
      <c r="J173" s="36"/>
      <c r="K173" s="29"/>
      <c r="L173" s="29"/>
      <c r="M173" s="31"/>
      <c r="N173" s="40">
        <f t="shared" si="16"/>
        <v>0</v>
      </c>
      <c r="P173" s="4" t="str">
        <f t="shared" si="17"/>
        <v/>
      </c>
      <c r="Q173" s="4" t="str">
        <f t="shared" si="18"/>
        <v/>
      </c>
      <c r="R173" s="4" t="str">
        <f t="shared" si="19"/>
        <v>/</v>
      </c>
      <c r="S173" s="4" t="str">
        <f t="shared" si="20"/>
        <v/>
      </c>
    </row>
    <row r="174" spans="1:19" x14ac:dyDescent="0.35">
      <c r="A174" s="54"/>
      <c r="B174" s="57"/>
      <c r="C174" s="60"/>
      <c r="D174" s="7" t="str">
        <f t="shared" si="14"/>
        <v/>
      </c>
      <c r="E174" s="63" t="str">
        <f>IF(OR(C174="",A174=""),"",IF(A174&lt;'Page de garde'!$G$7,IF(VALUE(RIGHT(C174,2))&lt;50,66,86),INDEX(EC!$C$2:$C$677,MATCH(C174,EC,0))))</f>
        <v/>
      </c>
      <c r="F174" s="33" t="str">
        <f t="shared" si="15"/>
        <v/>
      </c>
      <c r="G174" s="38"/>
      <c r="H174" s="38"/>
      <c r="I174" s="38"/>
      <c r="J174" s="36"/>
      <c r="K174" s="29"/>
      <c r="L174" s="29"/>
      <c r="M174" s="31"/>
      <c r="N174" s="40">
        <f t="shared" si="16"/>
        <v>0</v>
      </c>
      <c r="P174" s="4" t="str">
        <f t="shared" si="17"/>
        <v/>
      </c>
      <c r="Q174" s="4" t="str">
        <f t="shared" si="18"/>
        <v/>
      </c>
      <c r="R174" s="4" t="str">
        <f t="shared" si="19"/>
        <v>/</v>
      </c>
      <c r="S174" s="4" t="str">
        <f t="shared" si="20"/>
        <v/>
      </c>
    </row>
    <row r="175" spans="1:19" x14ac:dyDescent="0.35">
      <c r="A175" s="54"/>
      <c r="B175" s="57"/>
      <c r="C175" s="60"/>
      <c r="D175" s="7" t="str">
        <f t="shared" si="14"/>
        <v/>
      </c>
      <c r="E175" s="63" t="str">
        <f>IF(OR(C175="",A175=""),"",IF(A175&lt;'Page de garde'!$G$7,IF(VALUE(RIGHT(C175,2))&lt;50,66,86),INDEX(EC!$C$2:$C$677,MATCH(C175,EC,0))))</f>
        <v/>
      </c>
      <c r="F175" s="33" t="str">
        <f t="shared" si="15"/>
        <v/>
      </c>
      <c r="G175" s="38"/>
      <c r="H175" s="38"/>
      <c r="I175" s="38"/>
      <c r="J175" s="36"/>
      <c r="K175" s="29"/>
      <c r="L175" s="29"/>
      <c r="M175" s="31"/>
      <c r="N175" s="40">
        <f t="shared" si="16"/>
        <v>0</v>
      </c>
      <c r="P175" s="4" t="str">
        <f t="shared" si="17"/>
        <v/>
      </c>
      <c r="Q175" s="4" t="str">
        <f t="shared" si="18"/>
        <v/>
      </c>
      <c r="R175" s="4" t="str">
        <f t="shared" si="19"/>
        <v>/</v>
      </c>
      <c r="S175" s="4" t="str">
        <f t="shared" si="20"/>
        <v/>
      </c>
    </row>
    <row r="176" spans="1:19" x14ac:dyDescent="0.35">
      <c r="A176" s="54"/>
      <c r="B176" s="57"/>
      <c r="C176" s="60"/>
      <c r="D176" s="7" t="str">
        <f t="shared" si="14"/>
        <v/>
      </c>
      <c r="E176" s="63" t="str">
        <f>IF(OR(C176="",A176=""),"",IF(A176&lt;'Page de garde'!$G$7,IF(VALUE(RIGHT(C176,2))&lt;50,66,86),INDEX(EC!$C$2:$C$677,MATCH(C176,EC,0))))</f>
        <v/>
      </c>
      <c r="F176" s="33" t="str">
        <f t="shared" si="15"/>
        <v/>
      </c>
      <c r="G176" s="38"/>
      <c r="H176" s="38"/>
      <c r="I176" s="38"/>
      <c r="J176" s="36"/>
      <c r="K176" s="29"/>
      <c r="L176" s="29"/>
      <c r="M176" s="31"/>
      <c r="N176" s="40">
        <f t="shared" si="16"/>
        <v>0</v>
      </c>
      <c r="P176" s="4" t="str">
        <f t="shared" si="17"/>
        <v/>
      </c>
      <c r="Q176" s="4" t="str">
        <f t="shared" si="18"/>
        <v/>
      </c>
      <c r="R176" s="4" t="str">
        <f t="shared" si="19"/>
        <v>/</v>
      </c>
      <c r="S176" s="4" t="str">
        <f t="shared" si="20"/>
        <v/>
      </c>
    </row>
    <row r="177" spans="1:19" x14ac:dyDescent="0.35">
      <c r="A177" s="54"/>
      <c r="B177" s="57"/>
      <c r="C177" s="60"/>
      <c r="D177" s="7" t="str">
        <f t="shared" si="14"/>
        <v/>
      </c>
      <c r="E177" s="63" t="str">
        <f>IF(OR(C177="",A177=""),"",IF(A177&lt;'Page de garde'!$G$7,IF(VALUE(RIGHT(C177,2))&lt;50,66,86),INDEX(EC!$C$2:$C$677,MATCH(C177,EC,0))))</f>
        <v/>
      </c>
      <c r="F177" s="33" t="str">
        <f t="shared" si="15"/>
        <v/>
      </c>
      <c r="G177" s="38"/>
      <c r="H177" s="38"/>
      <c r="I177" s="38"/>
      <c r="J177" s="36"/>
      <c r="K177" s="29"/>
      <c r="L177" s="29"/>
      <c r="M177" s="31"/>
      <c r="N177" s="40">
        <f t="shared" si="16"/>
        <v>0</v>
      </c>
      <c r="P177" s="4" t="str">
        <f t="shared" si="17"/>
        <v/>
      </c>
      <c r="Q177" s="4" t="str">
        <f t="shared" si="18"/>
        <v/>
      </c>
      <c r="R177" s="4" t="str">
        <f t="shared" si="19"/>
        <v>/</v>
      </c>
      <c r="S177" s="4" t="str">
        <f t="shared" si="20"/>
        <v/>
      </c>
    </row>
    <row r="178" spans="1:19" x14ac:dyDescent="0.35">
      <c r="A178" s="54"/>
      <c r="B178" s="57"/>
      <c r="C178" s="60"/>
      <c r="D178" s="7" t="str">
        <f t="shared" si="14"/>
        <v/>
      </c>
      <c r="E178" s="63" t="str">
        <f>IF(OR(C178="",A178=""),"",IF(A178&lt;'Page de garde'!$G$7,IF(VALUE(RIGHT(C178,2))&lt;50,66,86),INDEX(EC!$C$2:$C$677,MATCH(C178,EC,0))))</f>
        <v/>
      </c>
      <c r="F178" s="33" t="str">
        <f t="shared" si="15"/>
        <v/>
      </c>
      <c r="G178" s="38"/>
      <c r="H178" s="38"/>
      <c r="I178" s="38"/>
      <c r="J178" s="36"/>
      <c r="K178" s="29"/>
      <c r="L178" s="29"/>
      <c r="M178" s="31"/>
      <c r="N178" s="40">
        <f t="shared" si="16"/>
        <v>0</v>
      </c>
      <c r="P178" s="4" t="str">
        <f t="shared" si="17"/>
        <v/>
      </c>
      <c r="Q178" s="4" t="str">
        <f t="shared" si="18"/>
        <v/>
      </c>
      <c r="R178" s="4" t="str">
        <f t="shared" si="19"/>
        <v>/</v>
      </c>
      <c r="S178" s="4" t="str">
        <f t="shared" si="20"/>
        <v/>
      </c>
    </row>
    <row r="179" spans="1:19" x14ac:dyDescent="0.35">
      <c r="A179" s="54"/>
      <c r="B179" s="57"/>
      <c r="C179" s="60"/>
      <c r="D179" s="7" t="str">
        <f t="shared" si="14"/>
        <v/>
      </c>
      <c r="E179" s="63" t="str">
        <f>IF(OR(C179="",A179=""),"",IF(A179&lt;'Page de garde'!$G$7,IF(VALUE(RIGHT(C179,2))&lt;50,66,86),INDEX(EC!$C$2:$C$677,MATCH(C179,EC,0))))</f>
        <v/>
      </c>
      <c r="F179" s="33" t="str">
        <f t="shared" si="15"/>
        <v/>
      </c>
      <c r="G179" s="38"/>
      <c r="H179" s="38"/>
      <c r="I179" s="38"/>
      <c r="J179" s="36"/>
      <c r="K179" s="29"/>
      <c r="L179" s="29"/>
      <c r="M179" s="31"/>
      <c r="N179" s="40">
        <f t="shared" si="16"/>
        <v>0</v>
      </c>
      <c r="P179" s="4" t="str">
        <f t="shared" si="17"/>
        <v/>
      </c>
      <c r="Q179" s="4" t="str">
        <f t="shared" si="18"/>
        <v/>
      </c>
      <c r="R179" s="4" t="str">
        <f t="shared" si="19"/>
        <v>/</v>
      </c>
      <c r="S179" s="4" t="str">
        <f t="shared" si="20"/>
        <v/>
      </c>
    </row>
    <row r="180" spans="1:19" x14ac:dyDescent="0.35">
      <c r="A180" s="54"/>
      <c r="B180" s="57"/>
      <c r="C180" s="60"/>
      <c r="D180" s="7" t="str">
        <f t="shared" si="14"/>
        <v/>
      </c>
      <c r="E180" s="63" t="str">
        <f>IF(OR(C180="",A180=""),"",IF(A180&lt;'Page de garde'!$G$7,IF(VALUE(RIGHT(C180,2))&lt;50,66,86),INDEX(EC!$C$2:$C$677,MATCH(C180,EC,0))))</f>
        <v/>
      </c>
      <c r="F180" s="33" t="str">
        <f t="shared" si="15"/>
        <v/>
      </c>
      <c r="G180" s="38"/>
      <c r="H180" s="38"/>
      <c r="I180" s="38"/>
      <c r="J180" s="36"/>
      <c r="K180" s="29"/>
      <c r="L180" s="29"/>
      <c r="M180" s="31"/>
      <c r="N180" s="40">
        <f t="shared" si="16"/>
        <v>0</v>
      </c>
      <c r="P180" s="4" t="str">
        <f t="shared" si="17"/>
        <v/>
      </c>
      <c r="Q180" s="4" t="str">
        <f t="shared" si="18"/>
        <v/>
      </c>
      <c r="R180" s="4" t="str">
        <f t="shared" si="19"/>
        <v>/</v>
      </c>
      <c r="S180" s="4" t="str">
        <f t="shared" si="20"/>
        <v/>
      </c>
    </row>
    <row r="181" spans="1:19" x14ac:dyDescent="0.35">
      <c r="A181" s="54"/>
      <c r="B181" s="57"/>
      <c r="C181" s="60"/>
      <c r="D181" s="7" t="str">
        <f t="shared" si="14"/>
        <v/>
      </c>
      <c r="E181" s="63" t="str">
        <f>IF(OR(C181="",A181=""),"",IF(A181&lt;'Page de garde'!$G$7,IF(VALUE(RIGHT(C181,2))&lt;50,66,86),INDEX(EC!$C$2:$C$677,MATCH(C181,EC,0))))</f>
        <v/>
      </c>
      <c r="F181" s="33" t="str">
        <f t="shared" si="15"/>
        <v/>
      </c>
      <c r="G181" s="38"/>
      <c r="H181" s="38"/>
      <c r="I181" s="38"/>
      <c r="J181" s="36"/>
      <c r="K181" s="29"/>
      <c r="L181" s="29"/>
      <c r="M181" s="31"/>
      <c r="N181" s="40">
        <f t="shared" si="16"/>
        <v>0</v>
      </c>
      <c r="P181" s="4" t="str">
        <f t="shared" si="17"/>
        <v/>
      </c>
      <c r="Q181" s="4" t="str">
        <f t="shared" si="18"/>
        <v/>
      </c>
      <c r="R181" s="4" t="str">
        <f t="shared" si="19"/>
        <v>/</v>
      </c>
      <c r="S181" s="4" t="str">
        <f t="shared" si="20"/>
        <v/>
      </c>
    </row>
    <row r="182" spans="1:19" x14ac:dyDescent="0.35">
      <c r="A182" s="54"/>
      <c r="B182" s="57"/>
      <c r="C182" s="60"/>
      <c r="D182" s="7" t="str">
        <f t="shared" si="14"/>
        <v/>
      </c>
      <c r="E182" s="63" t="str">
        <f>IF(OR(C182="",A182=""),"",IF(A182&lt;'Page de garde'!$G$7,IF(VALUE(RIGHT(C182,2))&lt;50,66,86),INDEX(EC!$C$2:$C$677,MATCH(C182,EC,0))))</f>
        <v/>
      </c>
      <c r="F182" s="33" t="str">
        <f t="shared" si="15"/>
        <v/>
      </c>
      <c r="G182" s="38"/>
      <c r="H182" s="38"/>
      <c r="I182" s="38"/>
      <c r="J182" s="36"/>
      <c r="K182" s="29"/>
      <c r="L182" s="29"/>
      <c r="M182" s="31"/>
      <c r="N182" s="40">
        <f t="shared" si="16"/>
        <v>0</v>
      </c>
      <c r="P182" s="4" t="str">
        <f t="shared" si="17"/>
        <v/>
      </c>
      <c r="Q182" s="4" t="str">
        <f t="shared" si="18"/>
        <v/>
      </c>
      <c r="R182" s="4" t="str">
        <f t="shared" si="19"/>
        <v>/</v>
      </c>
      <c r="S182" s="4" t="str">
        <f t="shared" si="20"/>
        <v/>
      </c>
    </row>
    <row r="183" spans="1:19" x14ac:dyDescent="0.35">
      <c r="A183" s="54"/>
      <c r="B183" s="57"/>
      <c r="C183" s="60"/>
      <c r="D183" s="7" t="str">
        <f t="shared" si="14"/>
        <v/>
      </c>
      <c r="E183" s="63" t="str">
        <f>IF(OR(C183="",A183=""),"",IF(A183&lt;'Page de garde'!$G$7,IF(VALUE(RIGHT(C183,2))&lt;50,66,86),INDEX(EC!$C$2:$C$677,MATCH(C183,EC,0))))</f>
        <v/>
      </c>
      <c r="F183" s="33" t="str">
        <f t="shared" si="15"/>
        <v/>
      </c>
      <c r="G183" s="38"/>
      <c r="H183" s="38"/>
      <c r="I183" s="38"/>
      <c r="J183" s="36"/>
      <c r="K183" s="29"/>
      <c r="L183" s="29"/>
      <c r="M183" s="31"/>
      <c r="N183" s="40">
        <f t="shared" si="16"/>
        <v>0</v>
      </c>
      <c r="P183" s="4" t="str">
        <f t="shared" si="17"/>
        <v/>
      </c>
      <c r="Q183" s="4" t="str">
        <f t="shared" si="18"/>
        <v/>
      </c>
      <c r="R183" s="4" t="str">
        <f t="shared" si="19"/>
        <v>/</v>
      </c>
      <c r="S183" s="4" t="str">
        <f t="shared" si="20"/>
        <v/>
      </c>
    </row>
    <row r="184" spans="1:19" x14ac:dyDescent="0.35">
      <c r="A184" s="54"/>
      <c r="B184" s="57"/>
      <c r="C184" s="60"/>
      <c r="D184" s="7" t="str">
        <f t="shared" si="14"/>
        <v/>
      </c>
      <c r="E184" s="63" t="str">
        <f>IF(OR(C184="",A184=""),"",IF(A184&lt;'Page de garde'!$G$7,IF(VALUE(RIGHT(C184,2))&lt;50,66,86),INDEX(EC!$C$2:$C$677,MATCH(C184,EC,0))))</f>
        <v/>
      </c>
      <c r="F184" s="33" t="str">
        <f t="shared" si="15"/>
        <v/>
      </c>
      <c r="G184" s="38"/>
      <c r="H184" s="38"/>
      <c r="I184" s="38"/>
      <c r="J184" s="36"/>
      <c r="K184" s="29"/>
      <c r="L184" s="29"/>
      <c r="M184" s="31"/>
      <c r="N184" s="40">
        <f t="shared" si="16"/>
        <v>0</v>
      </c>
      <c r="P184" s="4" t="str">
        <f t="shared" si="17"/>
        <v/>
      </c>
      <c r="Q184" s="4" t="str">
        <f t="shared" si="18"/>
        <v/>
      </c>
      <c r="R184" s="4" t="str">
        <f t="shared" si="19"/>
        <v>/</v>
      </c>
      <c r="S184" s="4" t="str">
        <f t="shared" si="20"/>
        <v/>
      </c>
    </row>
    <row r="185" spans="1:19" x14ac:dyDescent="0.35">
      <c r="A185" s="54"/>
      <c r="B185" s="57"/>
      <c r="C185" s="60"/>
      <c r="D185" s="7" t="str">
        <f t="shared" si="14"/>
        <v/>
      </c>
      <c r="E185" s="63" t="str">
        <f>IF(OR(C185="",A185=""),"",IF(A185&lt;'Page de garde'!$G$7,IF(VALUE(RIGHT(C185,2))&lt;50,66,86),INDEX(EC!$C$2:$C$677,MATCH(C185,EC,0))))</f>
        <v/>
      </c>
      <c r="F185" s="33" t="str">
        <f t="shared" si="15"/>
        <v/>
      </c>
      <c r="G185" s="38"/>
      <c r="H185" s="38"/>
      <c r="I185" s="38"/>
      <c r="J185" s="36"/>
      <c r="K185" s="29"/>
      <c r="L185" s="29"/>
      <c r="M185" s="31"/>
      <c r="N185" s="40">
        <f t="shared" si="16"/>
        <v>0</v>
      </c>
      <c r="P185" s="4" t="str">
        <f t="shared" si="17"/>
        <v/>
      </c>
      <c r="Q185" s="4" t="str">
        <f t="shared" si="18"/>
        <v/>
      </c>
      <c r="R185" s="4" t="str">
        <f t="shared" si="19"/>
        <v>/</v>
      </c>
      <c r="S185" s="4" t="str">
        <f t="shared" si="20"/>
        <v/>
      </c>
    </row>
    <row r="186" spans="1:19" x14ac:dyDescent="0.35">
      <c r="A186" s="54"/>
      <c r="B186" s="57"/>
      <c r="C186" s="60"/>
      <c r="D186" s="7" t="str">
        <f t="shared" si="14"/>
        <v/>
      </c>
      <c r="E186" s="63" t="str">
        <f>IF(OR(C186="",A186=""),"",IF(A186&lt;'Page de garde'!$G$7,IF(VALUE(RIGHT(C186,2))&lt;50,66,86),INDEX(EC!$C$2:$C$677,MATCH(C186,EC,0))))</f>
        <v/>
      </c>
      <c r="F186" s="33" t="str">
        <f t="shared" si="15"/>
        <v/>
      </c>
      <c r="G186" s="38"/>
      <c r="H186" s="38"/>
      <c r="I186" s="38"/>
      <c r="J186" s="36"/>
      <c r="K186" s="29"/>
      <c r="L186" s="29"/>
      <c r="M186" s="31"/>
      <c r="N186" s="40">
        <f t="shared" si="16"/>
        <v>0</v>
      </c>
      <c r="P186" s="4" t="str">
        <f t="shared" si="17"/>
        <v/>
      </c>
      <c r="Q186" s="4" t="str">
        <f t="shared" si="18"/>
        <v/>
      </c>
      <c r="R186" s="4" t="str">
        <f t="shared" si="19"/>
        <v>/</v>
      </c>
      <c r="S186" s="4" t="str">
        <f t="shared" si="20"/>
        <v/>
      </c>
    </row>
    <row r="187" spans="1:19" x14ac:dyDescent="0.35">
      <c r="A187" s="54"/>
      <c r="B187" s="57"/>
      <c r="C187" s="60"/>
      <c r="D187" s="7" t="str">
        <f t="shared" si="14"/>
        <v/>
      </c>
      <c r="E187" s="63" t="str">
        <f>IF(OR(C187="",A187=""),"",IF(A187&lt;'Page de garde'!$G$7,IF(VALUE(RIGHT(C187,2))&lt;50,66,86),INDEX(EC!$C$2:$C$677,MATCH(C187,EC,0))))</f>
        <v/>
      </c>
      <c r="F187" s="33" t="str">
        <f t="shared" si="15"/>
        <v/>
      </c>
      <c r="G187" s="38"/>
      <c r="H187" s="38"/>
      <c r="I187" s="38"/>
      <c r="J187" s="36"/>
      <c r="K187" s="29"/>
      <c r="L187" s="29"/>
      <c r="M187" s="31"/>
      <c r="N187" s="40">
        <f t="shared" si="16"/>
        <v>0</v>
      </c>
      <c r="P187" s="4" t="str">
        <f t="shared" si="17"/>
        <v/>
      </c>
      <c r="Q187" s="4" t="str">
        <f t="shared" si="18"/>
        <v/>
      </c>
      <c r="R187" s="4" t="str">
        <f t="shared" si="19"/>
        <v>/</v>
      </c>
      <c r="S187" s="4" t="str">
        <f t="shared" si="20"/>
        <v/>
      </c>
    </row>
    <row r="188" spans="1:19" x14ac:dyDescent="0.35">
      <c r="A188" s="54"/>
      <c r="B188" s="57"/>
      <c r="C188" s="60"/>
      <c r="D188" s="7" t="str">
        <f t="shared" si="14"/>
        <v/>
      </c>
      <c r="E188" s="63" t="str">
        <f>IF(OR(C188="",A188=""),"",IF(A188&lt;'Page de garde'!$G$7,IF(VALUE(RIGHT(C188,2))&lt;50,66,86),INDEX(EC!$C$2:$C$677,MATCH(C188,EC,0))))</f>
        <v/>
      </c>
      <c r="F188" s="33" t="str">
        <f t="shared" si="15"/>
        <v/>
      </c>
      <c r="G188" s="38"/>
      <c r="H188" s="38"/>
      <c r="I188" s="38"/>
      <c r="J188" s="36"/>
      <c r="K188" s="29"/>
      <c r="L188" s="29"/>
      <c r="M188" s="31"/>
      <c r="N188" s="40">
        <f t="shared" si="16"/>
        <v>0</v>
      </c>
      <c r="P188" s="4" t="str">
        <f t="shared" si="17"/>
        <v/>
      </c>
      <c r="Q188" s="4" t="str">
        <f t="shared" si="18"/>
        <v/>
      </c>
      <c r="R188" s="4" t="str">
        <f t="shared" si="19"/>
        <v>/</v>
      </c>
      <c r="S188" s="4" t="str">
        <f t="shared" si="20"/>
        <v/>
      </c>
    </row>
    <row r="189" spans="1:19" x14ac:dyDescent="0.35">
      <c r="A189" s="54"/>
      <c r="B189" s="57"/>
      <c r="C189" s="60"/>
      <c r="D189" s="7" t="str">
        <f t="shared" si="14"/>
        <v/>
      </c>
      <c r="E189" s="63" t="str">
        <f>IF(OR(C189="",A189=""),"",IF(A189&lt;'Page de garde'!$G$7,IF(VALUE(RIGHT(C189,2))&lt;50,66,86),INDEX(EC!$C$2:$C$677,MATCH(C189,EC,0))))</f>
        <v/>
      </c>
      <c r="F189" s="33" t="str">
        <f t="shared" si="15"/>
        <v/>
      </c>
      <c r="G189" s="38"/>
      <c r="H189" s="38"/>
      <c r="I189" s="38"/>
      <c r="J189" s="36"/>
      <c r="K189" s="29"/>
      <c r="L189" s="29"/>
      <c r="M189" s="31"/>
      <c r="N189" s="40">
        <f t="shared" si="16"/>
        <v>0</v>
      </c>
      <c r="P189" s="4" t="str">
        <f t="shared" si="17"/>
        <v/>
      </c>
      <c r="Q189" s="4" t="str">
        <f t="shared" si="18"/>
        <v/>
      </c>
      <c r="R189" s="4" t="str">
        <f t="shared" si="19"/>
        <v>/</v>
      </c>
      <c r="S189" s="4" t="str">
        <f t="shared" si="20"/>
        <v/>
      </c>
    </row>
    <row r="190" spans="1:19" x14ac:dyDescent="0.35">
      <c r="A190" s="54"/>
      <c r="B190" s="57"/>
      <c r="C190" s="60"/>
      <c r="D190" s="7" t="str">
        <f t="shared" si="14"/>
        <v/>
      </c>
      <c r="E190" s="63" t="str">
        <f>IF(OR(C190="",A190=""),"",IF(A190&lt;'Page de garde'!$G$7,IF(VALUE(RIGHT(C190,2))&lt;50,66,86),INDEX(EC!$C$2:$C$677,MATCH(C190,EC,0))))</f>
        <v/>
      </c>
      <c r="F190" s="33" t="str">
        <f t="shared" si="15"/>
        <v/>
      </c>
      <c r="G190" s="38"/>
      <c r="H190" s="38"/>
      <c r="I190" s="38"/>
      <c r="J190" s="36"/>
      <c r="K190" s="29"/>
      <c r="L190" s="29"/>
      <c r="M190" s="31"/>
      <c r="N190" s="40">
        <f t="shared" si="16"/>
        <v>0</v>
      </c>
      <c r="P190" s="4" t="str">
        <f t="shared" si="17"/>
        <v/>
      </c>
      <c r="Q190" s="4" t="str">
        <f t="shared" si="18"/>
        <v/>
      </c>
      <c r="R190" s="4" t="str">
        <f t="shared" si="19"/>
        <v>/</v>
      </c>
      <c r="S190" s="4" t="str">
        <f t="shared" si="20"/>
        <v/>
      </c>
    </row>
    <row r="191" spans="1:19" x14ac:dyDescent="0.35">
      <c r="A191" s="54"/>
      <c r="B191" s="57"/>
      <c r="C191" s="60"/>
      <c r="D191" s="7" t="str">
        <f t="shared" si="14"/>
        <v/>
      </c>
      <c r="E191" s="63" t="str">
        <f>IF(OR(C191="",A191=""),"",IF(A191&lt;'Page de garde'!$G$7,IF(VALUE(RIGHT(C191,2))&lt;50,66,86),INDEX(EC!$C$2:$C$677,MATCH(C191,EC,0))))</f>
        <v/>
      </c>
      <c r="F191" s="33" t="str">
        <f t="shared" si="15"/>
        <v/>
      </c>
      <c r="G191" s="38"/>
      <c r="H191" s="38"/>
      <c r="I191" s="38"/>
      <c r="J191" s="36"/>
      <c r="K191" s="29"/>
      <c r="L191" s="29"/>
      <c r="M191" s="31"/>
      <c r="N191" s="40">
        <f t="shared" si="16"/>
        <v>0</v>
      </c>
      <c r="P191" s="4" t="str">
        <f t="shared" si="17"/>
        <v/>
      </c>
      <c r="Q191" s="4" t="str">
        <f t="shared" si="18"/>
        <v/>
      </c>
      <c r="R191" s="4" t="str">
        <f t="shared" si="19"/>
        <v>/</v>
      </c>
      <c r="S191" s="4" t="str">
        <f t="shared" si="20"/>
        <v/>
      </c>
    </row>
    <row r="192" spans="1:19" x14ac:dyDescent="0.35">
      <c r="A192" s="54"/>
      <c r="B192" s="57"/>
      <c r="C192" s="60"/>
      <c r="D192" s="7" t="str">
        <f t="shared" si="14"/>
        <v/>
      </c>
      <c r="E192" s="63" t="str">
        <f>IF(OR(C192="",A192=""),"",IF(A192&lt;'Page de garde'!$G$7,IF(VALUE(RIGHT(C192,2))&lt;50,66,86),INDEX(EC!$C$2:$C$677,MATCH(C192,EC,0))))</f>
        <v/>
      </c>
      <c r="F192" s="33" t="str">
        <f t="shared" si="15"/>
        <v/>
      </c>
      <c r="G192" s="38"/>
      <c r="H192" s="38"/>
      <c r="I192" s="38"/>
      <c r="J192" s="36"/>
      <c r="K192" s="29"/>
      <c r="L192" s="29"/>
      <c r="M192" s="31"/>
      <c r="N192" s="40">
        <f t="shared" si="16"/>
        <v>0</v>
      </c>
      <c r="P192" s="4" t="str">
        <f t="shared" si="17"/>
        <v/>
      </c>
      <c r="Q192" s="4" t="str">
        <f t="shared" si="18"/>
        <v/>
      </c>
      <c r="R192" s="4" t="str">
        <f t="shared" si="19"/>
        <v>/</v>
      </c>
      <c r="S192" s="4" t="str">
        <f t="shared" si="20"/>
        <v/>
      </c>
    </row>
    <row r="193" spans="1:19" x14ac:dyDescent="0.35">
      <c r="A193" s="54"/>
      <c r="B193" s="57"/>
      <c r="C193" s="60"/>
      <c r="D193" s="7" t="str">
        <f t="shared" si="14"/>
        <v/>
      </c>
      <c r="E193" s="63" t="str">
        <f>IF(OR(C193="",A193=""),"",IF(A193&lt;'Page de garde'!$G$7,IF(VALUE(RIGHT(C193,2))&lt;50,66,86),INDEX(EC!$C$2:$C$677,MATCH(C193,EC,0))))</f>
        <v/>
      </c>
      <c r="F193" s="33" t="str">
        <f t="shared" si="15"/>
        <v/>
      </c>
      <c r="G193" s="38"/>
      <c r="H193" s="38"/>
      <c r="I193" s="38"/>
      <c r="J193" s="36"/>
      <c r="K193" s="29"/>
      <c r="L193" s="29"/>
      <c r="M193" s="31"/>
      <c r="N193" s="40">
        <f t="shared" si="16"/>
        <v>0</v>
      </c>
      <c r="P193" s="4" t="str">
        <f t="shared" si="17"/>
        <v/>
      </c>
      <c r="Q193" s="4" t="str">
        <f t="shared" si="18"/>
        <v/>
      </c>
      <c r="R193" s="4" t="str">
        <f t="shared" si="19"/>
        <v>/</v>
      </c>
      <c r="S193" s="4" t="str">
        <f t="shared" si="20"/>
        <v/>
      </c>
    </row>
    <row r="194" spans="1:19" x14ac:dyDescent="0.35">
      <c r="A194" s="54"/>
      <c r="B194" s="57"/>
      <c r="C194" s="60"/>
      <c r="D194" s="7" t="str">
        <f t="shared" si="14"/>
        <v/>
      </c>
      <c r="E194" s="63" t="str">
        <f>IF(OR(C194="",A194=""),"",IF(A194&lt;'Page de garde'!$G$7,IF(VALUE(RIGHT(C194,2))&lt;50,66,86),INDEX(EC!$C$2:$C$677,MATCH(C194,EC,0))))</f>
        <v/>
      </c>
      <c r="F194" s="33" t="str">
        <f t="shared" si="15"/>
        <v/>
      </c>
      <c r="G194" s="38"/>
      <c r="H194" s="38"/>
      <c r="I194" s="38"/>
      <c r="J194" s="36"/>
      <c r="K194" s="29"/>
      <c r="L194" s="29"/>
      <c r="M194" s="31"/>
      <c r="N194" s="40">
        <f t="shared" si="16"/>
        <v>0</v>
      </c>
      <c r="P194" s="4" t="str">
        <f t="shared" si="17"/>
        <v/>
      </c>
      <c r="Q194" s="4" t="str">
        <f t="shared" si="18"/>
        <v/>
      </c>
      <c r="R194" s="4" t="str">
        <f t="shared" si="19"/>
        <v>/</v>
      </c>
      <c r="S194" s="4" t="str">
        <f t="shared" si="20"/>
        <v/>
      </c>
    </row>
    <row r="195" spans="1:19" x14ac:dyDescent="0.35">
      <c r="A195" s="54"/>
      <c r="B195" s="57"/>
      <c r="C195" s="60"/>
      <c r="D195" s="7" t="str">
        <f t="shared" si="14"/>
        <v/>
      </c>
      <c r="E195" s="63" t="str">
        <f>IF(OR(C195="",A195=""),"",IF(A195&lt;'Page de garde'!$G$7,IF(VALUE(RIGHT(C195,2))&lt;50,66,86),INDEX(EC!$C$2:$C$677,MATCH(C195,EC,0))))</f>
        <v/>
      </c>
      <c r="F195" s="33" t="str">
        <f t="shared" si="15"/>
        <v/>
      </c>
      <c r="G195" s="38"/>
      <c r="H195" s="38"/>
      <c r="I195" s="38"/>
      <c r="J195" s="36"/>
      <c r="K195" s="29"/>
      <c r="L195" s="29"/>
      <c r="M195" s="31"/>
      <c r="N195" s="40">
        <f t="shared" si="16"/>
        <v>0</v>
      </c>
      <c r="P195" s="4" t="str">
        <f t="shared" si="17"/>
        <v/>
      </c>
      <c r="Q195" s="4" t="str">
        <f t="shared" si="18"/>
        <v/>
      </c>
      <c r="R195" s="4" t="str">
        <f t="shared" si="19"/>
        <v>/</v>
      </c>
      <c r="S195" s="4" t="str">
        <f t="shared" si="20"/>
        <v/>
      </c>
    </row>
    <row r="196" spans="1:19" x14ac:dyDescent="0.35">
      <c r="A196" s="54"/>
      <c r="B196" s="57"/>
      <c r="C196" s="60"/>
      <c r="D196" s="7" t="str">
        <f t="shared" si="14"/>
        <v/>
      </c>
      <c r="E196" s="63" t="str">
        <f>IF(OR(C196="",A196=""),"",IF(A196&lt;'Page de garde'!$G$7,IF(VALUE(RIGHT(C196,2))&lt;50,66,86),INDEX(EC!$C$2:$C$677,MATCH(C196,EC,0))))</f>
        <v/>
      </c>
      <c r="F196" s="33" t="str">
        <f t="shared" si="15"/>
        <v/>
      </c>
      <c r="G196" s="38"/>
      <c r="H196" s="38"/>
      <c r="I196" s="38"/>
      <c r="J196" s="36"/>
      <c r="K196" s="29"/>
      <c r="L196" s="29"/>
      <c r="M196" s="31"/>
      <c r="N196" s="40">
        <f t="shared" si="16"/>
        <v>0</v>
      </c>
      <c r="P196" s="4" t="str">
        <f t="shared" si="17"/>
        <v/>
      </c>
      <c r="Q196" s="4" t="str">
        <f t="shared" si="18"/>
        <v/>
      </c>
      <c r="R196" s="4" t="str">
        <f t="shared" si="19"/>
        <v>/</v>
      </c>
      <c r="S196" s="4" t="str">
        <f t="shared" si="20"/>
        <v/>
      </c>
    </row>
    <row r="197" spans="1:19" x14ac:dyDescent="0.35">
      <c r="A197" s="54"/>
      <c r="B197" s="57"/>
      <c r="C197" s="60"/>
      <c r="D197" s="7" t="str">
        <f t="shared" ref="D197:D260" si="21">IF(OR(B197="",C197=""),"",CONCATENATE(B197,"/",LEFT(C197,3),"-",RIGHT(C197,2)))</f>
        <v/>
      </c>
      <c r="E197" s="63" t="str">
        <f>IF(OR(C197="",A197=""),"",IF(A197&lt;'Page de garde'!$G$7,IF(VALUE(RIGHT(C197,2))&lt;50,66,86),INDEX(EC!$C$2:$C$677,MATCH(C197,EC,0))))</f>
        <v/>
      </c>
      <c r="F197" s="33" t="str">
        <f t="shared" ref="F197:F260" si="22">IF(C197="","",INDEX(OmEC,MATCH(C197,EC,0)))</f>
        <v/>
      </c>
      <c r="G197" s="38"/>
      <c r="H197" s="38"/>
      <c r="I197" s="38"/>
      <c r="J197" s="36"/>
      <c r="K197" s="29"/>
      <c r="L197" s="29"/>
      <c r="M197" s="31"/>
      <c r="N197" s="40">
        <f t="shared" ref="N197:N260" si="23">SUM(I197:M197)</f>
        <v>0</v>
      </c>
      <c r="P197" s="4" t="str">
        <f t="shared" ref="P197:P260" si="24">LEFT(C197,3)</f>
        <v/>
      </c>
      <c r="Q197" s="4" t="str">
        <f t="shared" si="18"/>
        <v/>
      </c>
      <c r="R197" s="4" t="str">
        <f t="shared" si="19"/>
        <v>/</v>
      </c>
      <c r="S197" s="4" t="str">
        <f t="shared" si="20"/>
        <v/>
      </c>
    </row>
    <row r="198" spans="1:19" x14ac:dyDescent="0.35">
      <c r="A198" s="54"/>
      <c r="B198" s="57"/>
      <c r="C198" s="60"/>
      <c r="D198" s="7" t="str">
        <f t="shared" si="21"/>
        <v/>
      </c>
      <c r="E198" s="63" t="str">
        <f>IF(OR(C198="",A198=""),"",IF(A198&lt;'Page de garde'!$G$7,IF(VALUE(RIGHT(C198,2))&lt;50,66,86),INDEX(EC!$C$2:$C$677,MATCH(C198,EC,0))))</f>
        <v/>
      </c>
      <c r="F198" s="33" t="str">
        <f t="shared" si="22"/>
        <v/>
      </c>
      <c r="G198" s="38"/>
      <c r="H198" s="38"/>
      <c r="I198" s="38"/>
      <c r="J198" s="36"/>
      <c r="K198" s="29"/>
      <c r="L198" s="29"/>
      <c r="M198" s="31"/>
      <c r="N198" s="40">
        <f t="shared" si="23"/>
        <v>0</v>
      </c>
      <c r="P198" s="4" t="str">
        <f t="shared" si="24"/>
        <v/>
      </c>
      <c r="Q198" s="4" t="str">
        <f t="shared" ref="Q198:Q261" si="25">IF(C198="","",IF(VALUE(RIGHT(C198,2))&lt;50,"G","B"))</f>
        <v/>
      </c>
      <c r="R198" s="4" t="str">
        <f t="shared" ref="R198:R261" si="26">CONCATENATE(D198,"/",A198)</f>
        <v>/</v>
      </c>
      <c r="S198" s="4" t="str">
        <f t="shared" ref="S198:S261" si="27">IF(B198="","",LEFT(B198,3))</f>
        <v/>
      </c>
    </row>
    <row r="199" spans="1:19" x14ac:dyDescent="0.35">
      <c r="A199" s="54"/>
      <c r="B199" s="57"/>
      <c r="C199" s="60"/>
      <c r="D199" s="7" t="str">
        <f t="shared" si="21"/>
        <v/>
      </c>
      <c r="E199" s="63" t="str">
        <f>IF(OR(C199="",A199=""),"",IF(A199&lt;'Page de garde'!$G$7,IF(VALUE(RIGHT(C199,2))&lt;50,66,86),INDEX(EC!$C$2:$C$677,MATCH(C199,EC,0))))</f>
        <v/>
      </c>
      <c r="F199" s="33" t="str">
        <f t="shared" si="22"/>
        <v/>
      </c>
      <c r="G199" s="38"/>
      <c r="H199" s="38"/>
      <c r="I199" s="38"/>
      <c r="J199" s="36"/>
      <c r="K199" s="29"/>
      <c r="L199" s="29"/>
      <c r="M199" s="31"/>
      <c r="N199" s="40">
        <f t="shared" si="23"/>
        <v>0</v>
      </c>
      <c r="P199" s="4" t="str">
        <f t="shared" si="24"/>
        <v/>
      </c>
      <c r="Q199" s="4" t="str">
        <f t="shared" si="25"/>
        <v/>
      </c>
      <c r="R199" s="4" t="str">
        <f t="shared" si="26"/>
        <v>/</v>
      </c>
      <c r="S199" s="4" t="str">
        <f t="shared" si="27"/>
        <v/>
      </c>
    </row>
    <row r="200" spans="1:19" x14ac:dyDescent="0.35">
      <c r="A200" s="54"/>
      <c r="B200" s="57"/>
      <c r="C200" s="60"/>
      <c r="D200" s="7" t="str">
        <f t="shared" si="21"/>
        <v/>
      </c>
      <c r="E200" s="63" t="str">
        <f>IF(OR(C200="",A200=""),"",IF(A200&lt;'Page de garde'!$G$7,IF(VALUE(RIGHT(C200,2))&lt;50,66,86),INDEX(EC!$C$2:$C$677,MATCH(C200,EC,0))))</f>
        <v/>
      </c>
      <c r="F200" s="33" t="str">
        <f t="shared" si="22"/>
        <v/>
      </c>
      <c r="G200" s="38"/>
      <c r="H200" s="38"/>
      <c r="I200" s="38"/>
      <c r="J200" s="36"/>
      <c r="K200" s="29"/>
      <c r="L200" s="29"/>
      <c r="M200" s="31"/>
      <c r="N200" s="40">
        <f t="shared" si="23"/>
        <v>0</v>
      </c>
      <c r="P200" s="4" t="str">
        <f t="shared" si="24"/>
        <v/>
      </c>
      <c r="Q200" s="4" t="str">
        <f t="shared" si="25"/>
        <v/>
      </c>
      <c r="R200" s="4" t="str">
        <f t="shared" si="26"/>
        <v>/</v>
      </c>
      <c r="S200" s="4" t="str">
        <f t="shared" si="27"/>
        <v/>
      </c>
    </row>
    <row r="201" spans="1:19" x14ac:dyDescent="0.35">
      <c r="A201" s="54"/>
      <c r="B201" s="57"/>
      <c r="C201" s="60"/>
      <c r="D201" s="7" t="str">
        <f t="shared" si="21"/>
        <v/>
      </c>
      <c r="E201" s="63" t="str">
        <f>IF(OR(C201="",A201=""),"",IF(A201&lt;'Page de garde'!$G$7,IF(VALUE(RIGHT(C201,2))&lt;50,66,86),INDEX(EC!$C$2:$C$677,MATCH(C201,EC,0))))</f>
        <v/>
      </c>
      <c r="F201" s="33" t="str">
        <f t="shared" si="22"/>
        <v/>
      </c>
      <c r="G201" s="38"/>
      <c r="H201" s="38"/>
      <c r="I201" s="38"/>
      <c r="J201" s="36"/>
      <c r="K201" s="29"/>
      <c r="L201" s="29"/>
      <c r="M201" s="31"/>
      <c r="N201" s="40">
        <f t="shared" si="23"/>
        <v>0</v>
      </c>
      <c r="P201" s="4" t="str">
        <f t="shared" si="24"/>
        <v/>
      </c>
      <c r="Q201" s="4" t="str">
        <f t="shared" si="25"/>
        <v/>
      </c>
      <c r="R201" s="4" t="str">
        <f t="shared" si="26"/>
        <v>/</v>
      </c>
      <c r="S201" s="4" t="str">
        <f t="shared" si="27"/>
        <v/>
      </c>
    </row>
    <row r="202" spans="1:19" x14ac:dyDescent="0.35">
      <c r="A202" s="54"/>
      <c r="B202" s="57"/>
      <c r="C202" s="60"/>
      <c r="D202" s="7" t="str">
        <f t="shared" si="21"/>
        <v/>
      </c>
      <c r="E202" s="63" t="str">
        <f>IF(OR(C202="",A202=""),"",IF(A202&lt;'Page de garde'!$G$7,IF(VALUE(RIGHT(C202,2))&lt;50,66,86),INDEX(EC!$C$2:$C$677,MATCH(C202,EC,0))))</f>
        <v/>
      </c>
      <c r="F202" s="33" t="str">
        <f t="shared" si="22"/>
        <v/>
      </c>
      <c r="G202" s="38"/>
      <c r="H202" s="38"/>
      <c r="I202" s="38"/>
      <c r="J202" s="36"/>
      <c r="K202" s="29"/>
      <c r="L202" s="29"/>
      <c r="M202" s="31"/>
      <c r="N202" s="40">
        <f t="shared" si="23"/>
        <v>0</v>
      </c>
      <c r="P202" s="4" t="str">
        <f t="shared" si="24"/>
        <v/>
      </c>
      <c r="Q202" s="4" t="str">
        <f t="shared" si="25"/>
        <v/>
      </c>
      <c r="R202" s="4" t="str">
        <f t="shared" si="26"/>
        <v>/</v>
      </c>
      <c r="S202" s="4" t="str">
        <f t="shared" si="27"/>
        <v/>
      </c>
    </row>
    <row r="203" spans="1:19" x14ac:dyDescent="0.35">
      <c r="A203" s="54"/>
      <c r="B203" s="57"/>
      <c r="C203" s="60"/>
      <c r="D203" s="66" t="str">
        <f t="shared" si="21"/>
        <v/>
      </c>
      <c r="E203" s="64" t="str">
        <f>IF(OR(C203="",A203=""),"",IF(A203&lt;'Page de garde'!$G$7,IF(VALUE(RIGHT(C203,2))&lt;50,66,86),INDEX(EC!$C$2:$C$677,MATCH(C203,EC,0))))</f>
        <v/>
      </c>
      <c r="F203" s="33" t="str">
        <f t="shared" si="22"/>
        <v/>
      </c>
      <c r="G203" s="38"/>
      <c r="H203" s="38"/>
      <c r="I203" s="38"/>
      <c r="J203" s="36"/>
      <c r="K203" s="29"/>
      <c r="L203" s="29"/>
      <c r="M203" s="31"/>
      <c r="N203" s="40">
        <f t="shared" si="23"/>
        <v>0</v>
      </c>
      <c r="P203" s="4" t="str">
        <f t="shared" si="24"/>
        <v/>
      </c>
      <c r="Q203" s="4" t="str">
        <f t="shared" si="25"/>
        <v/>
      </c>
      <c r="R203" s="4" t="str">
        <f t="shared" si="26"/>
        <v>/</v>
      </c>
      <c r="S203" s="4" t="str">
        <f t="shared" si="27"/>
        <v/>
      </c>
    </row>
    <row r="204" spans="1:19" x14ac:dyDescent="0.35">
      <c r="A204" s="54"/>
      <c r="B204" s="57"/>
      <c r="C204" s="60"/>
      <c r="D204" s="66" t="str">
        <f t="shared" si="21"/>
        <v/>
      </c>
      <c r="E204" s="64" t="str">
        <f>IF(OR(C204="",A204=""),"",IF(A204&lt;'Page de garde'!$G$7,IF(VALUE(RIGHT(C204,2))&lt;50,66,86),INDEX(EC!$C$2:$C$677,MATCH(C204,EC,0))))</f>
        <v/>
      </c>
      <c r="F204" s="33" t="str">
        <f t="shared" si="22"/>
        <v/>
      </c>
      <c r="G204" s="38"/>
      <c r="H204" s="38"/>
      <c r="I204" s="38"/>
      <c r="J204" s="36"/>
      <c r="K204" s="29"/>
      <c r="L204" s="29"/>
      <c r="M204" s="31"/>
      <c r="N204" s="40">
        <f t="shared" si="23"/>
        <v>0</v>
      </c>
      <c r="P204" s="4" t="str">
        <f t="shared" si="24"/>
        <v/>
      </c>
      <c r="Q204" s="4" t="str">
        <f t="shared" si="25"/>
        <v/>
      </c>
      <c r="R204" s="4" t="str">
        <f t="shared" si="26"/>
        <v>/</v>
      </c>
      <c r="S204" s="4" t="str">
        <f t="shared" si="27"/>
        <v/>
      </c>
    </row>
    <row r="205" spans="1:19" x14ac:dyDescent="0.35">
      <c r="A205" s="54"/>
      <c r="B205" s="57"/>
      <c r="C205" s="60"/>
      <c r="D205" s="66" t="str">
        <f t="shared" si="21"/>
        <v/>
      </c>
      <c r="E205" s="64" t="str">
        <f>IF(OR(C205="",A205=""),"",IF(A205&lt;'Page de garde'!$G$7,IF(VALUE(RIGHT(C205,2))&lt;50,66,86),INDEX(EC!$C$2:$C$677,MATCH(C205,EC,0))))</f>
        <v/>
      </c>
      <c r="F205" s="33" t="str">
        <f t="shared" si="22"/>
        <v/>
      </c>
      <c r="G205" s="38"/>
      <c r="H205" s="38"/>
      <c r="I205" s="38"/>
      <c r="J205" s="36"/>
      <c r="K205" s="29"/>
      <c r="L205" s="29"/>
      <c r="M205" s="31"/>
      <c r="N205" s="40">
        <f t="shared" si="23"/>
        <v>0</v>
      </c>
      <c r="P205" s="4" t="str">
        <f t="shared" si="24"/>
        <v/>
      </c>
      <c r="Q205" s="4" t="str">
        <f t="shared" si="25"/>
        <v/>
      </c>
      <c r="R205" s="4" t="str">
        <f t="shared" si="26"/>
        <v>/</v>
      </c>
      <c r="S205" s="4" t="str">
        <f t="shared" si="27"/>
        <v/>
      </c>
    </row>
    <row r="206" spans="1:19" x14ac:dyDescent="0.35">
      <c r="A206" s="54"/>
      <c r="B206" s="57"/>
      <c r="C206" s="60"/>
      <c r="D206" s="66" t="str">
        <f t="shared" si="21"/>
        <v/>
      </c>
      <c r="E206" s="64" t="str">
        <f>IF(OR(C206="",A206=""),"",IF(A206&lt;'Page de garde'!$G$7,IF(VALUE(RIGHT(C206,2))&lt;50,66,86),INDEX(EC!$C$2:$C$677,MATCH(C206,EC,0))))</f>
        <v/>
      </c>
      <c r="F206" s="33" t="str">
        <f t="shared" si="22"/>
        <v/>
      </c>
      <c r="G206" s="38"/>
      <c r="H206" s="38"/>
      <c r="I206" s="38"/>
      <c r="J206" s="36"/>
      <c r="K206" s="29"/>
      <c r="L206" s="29"/>
      <c r="M206" s="31"/>
      <c r="N206" s="40">
        <f t="shared" si="23"/>
        <v>0</v>
      </c>
      <c r="P206" s="4" t="str">
        <f t="shared" si="24"/>
        <v/>
      </c>
      <c r="Q206" s="4" t="str">
        <f t="shared" si="25"/>
        <v/>
      </c>
      <c r="R206" s="4" t="str">
        <f t="shared" si="26"/>
        <v>/</v>
      </c>
      <c r="S206" s="4" t="str">
        <f t="shared" si="27"/>
        <v/>
      </c>
    </row>
    <row r="207" spans="1:19" x14ac:dyDescent="0.35">
      <c r="A207" s="54"/>
      <c r="B207" s="57"/>
      <c r="C207" s="60"/>
      <c r="D207" s="66" t="str">
        <f t="shared" si="21"/>
        <v/>
      </c>
      <c r="E207" s="64" t="str">
        <f>IF(OR(C207="",A207=""),"",IF(A207&lt;'Page de garde'!$G$7,IF(VALUE(RIGHT(C207,2))&lt;50,66,86),INDEX(EC!$C$2:$C$677,MATCH(C207,EC,0))))</f>
        <v/>
      </c>
      <c r="F207" s="33" t="str">
        <f t="shared" si="22"/>
        <v/>
      </c>
      <c r="G207" s="38"/>
      <c r="H207" s="38"/>
      <c r="I207" s="38"/>
      <c r="J207" s="36"/>
      <c r="K207" s="29"/>
      <c r="L207" s="29"/>
      <c r="M207" s="31"/>
      <c r="N207" s="40">
        <f t="shared" si="23"/>
        <v>0</v>
      </c>
      <c r="P207" s="4" t="str">
        <f t="shared" si="24"/>
        <v/>
      </c>
      <c r="Q207" s="4" t="str">
        <f t="shared" si="25"/>
        <v/>
      </c>
      <c r="R207" s="4" t="str">
        <f t="shared" si="26"/>
        <v>/</v>
      </c>
      <c r="S207" s="4" t="str">
        <f t="shared" si="27"/>
        <v/>
      </c>
    </row>
    <row r="208" spans="1:19" x14ac:dyDescent="0.35">
      <c r="A208" s="54"/>
      <c r="B208" s="57"/>
      <c r="C208" s="60"/>
      <c r="D208" s="66" t="str">
        <f t="shared" si="21"/>
        <v/>
      </c>
      <c r="E208" s="64" t="str">
        <f>IF(OR(C208="",A208=""),"",IF(A208&lt;'Page de garde'!$G$7,IF(VALUE(RIGHT(C208,2))&lt;50,66,86),INDEX(EC!$C$2:$C$677,MATCH(C208,EC,0))))</f>
        <v/>
      </c>
      <c r="F208" s="33" t="str">
        <f t="shared" si="22"/>
        <v/>
      </c>
      <c r="G208" s="38"/>
      <c r="H208" s="38"/>
      <c r="I208" s="38"/>
      <c r="J208" s="36"/>
      <c r="K208" s="29"/>
      <c r="L208" s="29"/>
      <c r="M208" s="31"/>
      <c r="N208" s="40">
        <f t="shared" si="23"/>
        <v>0</v>
      </c>
      <c r="P208" s="4" t="str">
        <f t="shared" si="24"/>
        <v/>
      </c>
      <c r="Q208" s="4" t="str">
        <f t="shared" si="25"/>
        <v/>
      </c>
      <c r="R208" s="4" t="str">
        <f t="shared" si="26"/>
        <v>/</v>
      </c>
      <c r="S208" s="4" t="str">
        <f t="shared" si="27"/>
        <v/>
      </c>
    </row>
    <row r="209" spans="1:19" x14ac:dyDescent="0.35">
      <c r="A209" s="54"/>
      <c r="B209" s="57"/>
      <c r="C209" s="60"/>
      <c r="D209" s="66" t="str">
        <f t="shared" si="21"/>
        <v/>
      </c>
      <c r="E209" s="64" t="str">
        <f>IF(OR(C209="",A209=""),"",IF(A209&lt;'Page de garde'!$G$7,IF(VALUE(RIGHT(C209,2))&lt;50,66,86),INDEX(EC!$C$2:$C$677,MATCH(C209,EC,0))))</f>
        <v/>
      </c>
      <c r="F209" s="33" t="str">
        <f t="shared" si="22"/>
        <v/>
      </c>
      <c r="G209" s="38"/>
      <c r="H209" s="38"/>
      <c r="I209" s="38"/>
      <c r="J209" s="36"/>
      <c r="K209" s="29"/>
      <c r="L209" s="29"/>
      <c r="M209" s="31"/>
      <c r="N209" s="40">
        <f t="shared" si="23"/>
        <v>0</v>
      </c>
      <c r="P209" s="4" t="str">
        <f t="shared" si="24"/>
        <v/>
      </c>
      <c r="Q209" s="4" t="str">
        <f t="shared" si="25"/>
        <v/>
      </c>
      <c r="R209" s="4" t="str">
        <f t="shared" si="26"/>
        <v>/</v>
      </c>
      <c r="S209" s="4" t="str">
        <f t="shared" si="27"/>
        <v/>
      </c>
    </row>
    <row r="210" spans="1:19" x14ac:dyDescent="0.35">
      <c r="A210" s="54"/>
      <c r="B210" s="57"/>
      <c r="C210" s="60"/>
      <c r="D210" s="66" t="str">
        <f t="shared" si="21"/>
        <v/>
      </c>
      <c r="E210" s="64" t="str">
        <f>IF(OR(C210="",A210=""),"",IF(A210&lt;'Page de garde'!$G$7,IF(VALUE(RIGHT(C210,2))&lt;50,66,86),INDEX(EC!$C$2:$C$677,MATCH(C210,EC,0))))</f>
        <v/>
      </c>
      <c r="F210" s="33" t="str">
        <f t="shared" si="22"/>
        <v/>
      </c>
      <c r="G210" s="38"/>
      <c r="H210" s="38"/>
      <c r="I210" s="38"/>
      <c r="J210" s="36"/>
      <c r="K210" s="29"/>
      <c r="L210" s="29"/>
      <c r="M210" s="31"/>
      <c r="N210" s="40">
        <f t="shared" si="23"/>
        <v>0</v>
      </c>
      <c r="P210" s="4" t="str">
        <f t="shared" si="24"/>
        <v/>
      </c>
      <c r="Q210" s="4" t="str">
        <f t="shared" si="25"/>
        <v/>
      </c>
      <c r="R210" s="4" t="str">
        <f t="shared" si="26"/>
        <v>/</v>
      </c>
      <c r="S210" s="4" t="str">
        <f t="shared" si="27"/>
        <v/>
      </c>
    </row>
    <row r="211" spans="1:19" x14ac:dyDescent="0.35">
      <c r="A211" s="54"/>
      <c r="B211" s="57"/>
      <c r="C211" s="60"/>
      <c r="D211" s="66" t="str">
        <f t="shared" si="21"/>
        <v/>
      </c>
      <c r="E211" s="64" t="str">
        <f>IF(OR(C211="",A211=""),"",IF(A211&lt;'Page de garde'!$G$7,IF(VALUE(RIGHT(C211,2))&lt;50,66,86),INDEX(EC!$C$2:$C$677,MATCH(C211,EC,0))))</f>
        <v/>
      </c>
      <c r="F211" s="33" t="str">
        <f t="shared" si="22"/>
        <v/>
      </c>
      <c r="G211" s="38"/>
      <c r="H211" s="38"/>
      <c r="I211" s="38"/>
      <c r="J211" s="36"/>
      <c r="K211" s="29"/>
      <c r="L211" s="29"/>
      <c r="M211" s="31"/>
      <c r="N211" s="40">
        <f t="shared" si="23"/>
        <v>0</v>
      </c>
      <c r="P211" s="4" t="str">
        <f t="shared" si="24"/>
        <v/>
      </c>
      <c r="Q211" s="4" t="str">
        <f t="shared" si="25"/>
        <v/>
      </c>
      <c r="R211" s="4" t="str">
        <f t="shared" si="26"/>
        <v>/</v>
      </c>
      <c r="S211" s="4" t="str">
        <f t="shared" si="27"/>
        <v/>
      </c>
    </row>
    <row r="212" spans="1:19" x14ac:dyDescent="0.35">
      <c r="A212" s="54"/>
      <c r="B212" s="57"/>
      <c r="C212" s="60"/>
      <c r="D212" s="66" t="str">
        <f t="shared" si="21"/>
        <v/>
      </c>
      <c r="E212" s="64" t="str">
        <f>IF(OR(C212="",A212=""),"",IF(A212&lt;'Page de garde'!$G$7,IF(VALUE(RIGHT(C212,2))&lt;50,66,86),INDEX(EC!$C$2:$C$677,MATCH(C212,EC,0))))</f>
        <v/>
      </c>
      <c r="F212" s="33" t="str">
        <f t="shared" si="22"/>
        <v/>
      </c>
      <c r="G212" s="38"/>
      <c r="H212" s="38"/>
      <c r="I212" s="38"/>
      <c r="J212" s="36"/>
      <c r="K212" s="29"/>
      <c r="L212" s="29"/>
      <c r="M212" s="31"/>
      <c r="N212" s="40">
        <f t="shared" si="23"/>
        <v>0</v>
      </c>
      <c r="P212" s="4" t="str">
        <f t="shared" si="24"/>
        <v/>
      </c>
      <c r="Q212" s="4" t="str">
        <f t="shared" si="25"/>
        <v/>
      </c>
      <c r="R212" s="4" t="str">
        <f t="shared" si="26"/>
        <v>/</v>
      </c>
      <c r="S212" s="4" t="str">
        <f t="shared" si="27"/>
        <v/>
      </c>
    </row>
    <row r="213" spans="1:19" x14ac:dyDescent="0.35">
      <c r="A213" s="54"/>
      <c r="B213" s="57"/>
      <c r="C213" s="60"/>
      <c r="D213" s="66" t="str">
        <f t="shared" si="21"/>
        <v/>
      </c>
      <c r="E213" s="64" t="str">
        <f>IF(OR(C213="",A213=""),"",IF(A213&lt;'Page de garde'!$G$7,IF(VALUE(RIGHT(C213,2))&lt;50,66,86),INDEX(EC!$C$2:$C$677,MATCH(C213,EC,0))))</f>
        <v/>
      </c>
      <c r="F213" s="33" t="str">
        <f t="shared" si="22"/>
        <v/>
      </c>
      <c r="G213" s="38"/>
      <c r="H213" s="38"/>
      <c r="I213" s="38"/>
      <c r="J213" s="36"/>
      <c r="K213" s="29"/>
      <c r="L213" s="29"/>
      <c r="M213" s="31"/>
      <c r="N213" s="40">
        <f t="shared" si="23"/>
        <v>0</v>
      </c>
      <c r="P213" s="4" t="str">
        <f t="shared" si="24"/>
        <v/>
      </c>
      <c r="Q213" s="4" t="str">
        <f t="shared" si="25"/>
        <v/>
      </c>
      <c r="R213" s="4" t="str">
        <f t="shared" si="26"/>
        <v>/</v>
      </c>
      <c r="S213" s="4" t="str">
        <f t="shared" si="27"/>
        <v/>
      </c>
    </row>
    <row r="214" spans="1:19" x14ac:dyDescent="0.35">
      <c r="A214" s="54"/>
      <c r="B214" s="57"/>
      <c r="C214" s="60"/>
      <c r="D214" s="66" t="str">
        <f t="shared" si="21"/>
        <v/>
      </c>
      <c r="E214" s="64" t="str">
        <f>IF(OR(C214="",A214=""),"",IF(A214&lt;'Page de garde'!$G$7,IF(VALUE(RIGHT(C214,2))&lt;50,66,86),INDEX(EC!$C$2:$C$677,MATCH(C214,EC,0))))</f>
        <v/>
      </c>
      <c r="F214" s="33" t="str">
        <f t="shared" si="22"/>
        <v/>
      </c>
      <c r="G214" s="38"/>
      <c r="H214" s="38"/>
      <c r="I214" s="38"/>
      <c r="J214" s="36"/>
      <c r="K214" s="29"/>
      <c r="L214" s="29"/>
      <c r="M214" s="31"/>
      <c r="N214" s="40">
        <f t="shared" si="23"/>
        <v>0</v>
      </c>
      <c r="P214" s="4" t="str">
        <f t="shared" si="24"/>
        <v/>
      </c>
      <c r="Q214" s="4" t="str">
        <f t="shared" si="25"/>
        <v/>
      </c>
      <c r="R214" s="4" t="str">
        <f t="shared" si="26"/>
        <v>/</v>
      </c>
      <c r="S214" s="4" t="str">
        <f t="shared" si="27"/>
        <v/>
      </c>
    </row>
    <row r="215" spans="1:19" x14ac:dyDescent="0.35">
      <c r="A215" s="54"/>
      <c r="B215" s="57"/>
      <c r="C215" s="60"/>
      <c r="D215" s="66" t="str">
        <f t="shared" si="21"/>
        <v/>
      </c>
      <c r="E215" s="64" t="str">
        <f>IF(OR(C215="",A215=""),"",IF(A215&lt;'Page de garde'!$G$7,IF(VALUE(RIGHT(C215,2))&lt;50,66,86),INDEX(EC!$C$2:$C$677,MATCH(C215,EC,0))))</f>
        <v/>
      </c>
      <c r="F215" s="33" t="str">
        <f t="shared" si="22"/>
        <v/>
      </c>
      <c r="G215" s="38"/>
      <c r="H215" s="38"/>
      <c r="I215" s="38"/>
      <c r="J215" s="36"/>
      <c r="K215" s="29"/>
      <c r="L215" s="29"/>
      <c r="M215" s="31"/>
      <c r="N215" s="40">
        <f t="shared" si="23"/>
        <v>0</v>
      </c>
      <c r="P215" s="4" t="str">
        <f t="shared" si="24"/>
        <v/>
      </c>
      <c r="Q215" s="4" t="str">
        <f t="shared" si="25"/>
        <v/>
      </c>
      <c r="R215" s="4" t="str">
        <f t="shared" si="26"/>
        <v>/</v>
      </c>
      <c r="S215" s="4" t="str">
        <f t="shared" si="27"/>
        <v/>
      </c>
    </row>
    <row r="216" spans="1:19" x14ac:dyDescent="0.35">
      <c r="A216" s="54"/>
      <c r="B216" s="57"/>
      <c r="C216" s="60"/>
      <c r="D216" s="66" t="str">
        <f t="shared" si="21"/>
        <v/>
      </c>
      <c r="E216" s="64" t="str">
        <f>IF(OR(C216="",A216=""),"",IF(A216&lt;'Page de garde'!$G$7,IF(VALUE(RIGHT(C216,2))&lt;50,66,86),INDEX(EC!$C$2:$C$677,MATCH(C216,EC,0))))</f>
        <v/>
      </c>
      <c r="F216" s="33" t="str">
        <f t="shared" si="22"/>
        <v/>
      </c>
      <c r="G216" s="38"/>
      <c r="H216" s="38"/>
      <c r="I216" s="38"/>
      <c r="J216" s="36"/>
      <c r="K216" s="29"/>
      <c r="L216" s="29"/>
      <c r="M216" s="31"/>
      <c r="N216" s="40">
        <f t="shared" si="23"/>
        <v>0</v>
      </c>
      <c r="P216" s="4" t="str">
        <f t="shared" si="24"/>
        <v/>
      </c>
      <c r="Q216" s="4" t="str">
        <f t="shared" si="25"/>
        <v/>
      </c>
      <c r="R216" s="4" t="str">
        <f t="shared" si="26"/>
        <v>/</v>
      </c>
      <c r="S216" s="4" t="str">
        <f t="shared" si="27"/>
        <v/>
      </c>
    </row>
    <row r="217" spans="1:19" x14ac:dyDescent="0.35">
      <c r="A217" s="54"/>
      <c r="B217" s="57"/>
      <c r="C217" s="60"/>
      <c r="D217" s="66" t="str">
        <f t="shared" si="21"/>
        <v/>
      </c>
      <c r="E217" s="64" t="str">
        <f>IF(OR(C217="",A217=""),"",IF(A217&lt;'Page de garde'!$G$7,IF(VALUE(RIGHT(C217,2))&lt;50,66,86),INDEX(EC!$C$2:$C$677,MATCH(C217,EC,0))))</f>
        <v/>
      </c>
      <c r="F217" s="33" t="str">
        <f t="shared" si="22"/>
        <v/>
      </c>
      <c r="G217" s="38"/>
      <c r="H217" s="38"/>
      <c r="I217" s="38"/>
      <c r="J217" s="36"/>
      <c r="K217" s="29"/>
      <c r="L217" s="29"/>
      <c r="M217" s="31"/>
      <c r="N217" s="40">
        <f t="shared" si="23"/>
        <v>0</v>
      </c>
      <c r="P217" s="4" t="str">
        <f t="shared" si="24"/>
        <v/>
      </c>
      <c r="Q217" s="4" t="str">
        <f t="shared" si="25"/>
        <v/>
      </c>
      <c r="R217" s="4" t="str">
        <f t="shared" si="26"/>
        <v>/</v>
      </c>
      <c r="S217" s="4" t="str">
        <f t="shared" si="27"/>
        <v/>
      </c>
    </row>
    <row r="218" spans="1:19" x14ac:dyDescent="0.35">
      <c r="A218" s="54"/>
      <c r="B218" s="57"/>
      <c r="C218" s="60"/>
      <c r="D218" s="66" t="str">
        <f t="shared" si="21"/>
        <v/>
      </c>
      <c r="E218" s="64" t="str">
        <f>IF(OR(C218="",A218=""),"",IF(A218&lt;'Page de garde'!$G$7,IF(VALUE(RIGHT(C218,2))&lt;50,66,86),INDEX(EC!$C$2:$C$677,MATCH(C218,EC,0))))</f>
        <v/>
      </c>
      <c r="F218" s="33" t="str">
        <f t="shared" si="22"/>
        <v/>
      </c>
      <c r="G218" s="38"/>
      <c r="H218" s="38"/>
      <c r="I218" s="38"/>
      <c r="J218" s="36"/>
      <c r="K218" s="29"/>
      <c r="L218" s="29"/>
      <c r="M218" s="31"/>
      <c r="N218" s="40">
        <f t="shared" si="23"/>
        <v>0</v>
      </c>
      <c r="P218" s="4" t="str">
        <f t="shared" si="24"/>
        <v/>
      </c>
      <c r="Q218" s="4" t="str">
        <f t="shared" si="25"/>
        <v/>
      </c>
      <c r="R218" s="4" t="str">
        <f t="shared" si="26"/>
        <v>/</v>
      </c>
      <c r="S218" s="4" t="str">
        <f t="shared" si="27"/>
        <v/>
      </c>
    </row>
    <row r="219" spans="1:19" x14ac:dyDescent="0.35">
      <c r="A219" s="54"/>
      <c r="B219" s="57"/>
      <c r="C219" s="60"/>
      <c r="D219" s="66" t="str">
        <f t="shared" si="21"/>
        <v/>
      </c>
      <c r="E219" s="64" t="str">
        <f>IF(OR(C219="",A219=""),"",IF(A219&lt;'Page de garde'!$G$7,IF(VALUE(RIGHT(C219,2))&lt;50,66,86),INDEX(EC!$C$2:$C$677,MATCH(C219,EC,0))))</f>
        <v/>
      </c>
      <c r="F219" s="33" t="str">
        <f t="shared" si="22"/>
        <v/>
      </c>
      <c r="G219" s="38"/>
      <c r="H219" s="38"/>
      <c r="I219" s="38"/>
      <c r="J219" s="36"/>
      <c r="K219" s="29"/>
      <c r="L219" s="29"/>
      <c r="M219" s="31"/>
      <c r="N219" s="40">
        <f t="shared" si="23"/>
        <v>0</v>
      </c>
      <c r="P219" s="4" t="str">
        <f t="shared" si="24"/>
        <v/>
      </c>
      <c r="Q219" s="4" t="str">
        <f t="shared" si="25"/>
        <v/>
      </c>
      <c r="R219" s="4" t="str">
        <f t="shared" si="26"/>
        <v>/</v>
      </c>
      <c r="S219" s="4" t="str">
        <f t="shared" si="27"/>
        <v/>
      </c>
    </row>
    <row r="220" spans="1:19" x14ac:dyDescent="0.35">
      <c r="A220" s="54"/>
      <c r="B220" s="57"/>
      <c r="C220" s="60"/>
      <c r="D220" s="66" t="str">
        <f t="shared" si="21"/>
        <v/>
      </c>
      <c r="E220" s="64" t="str">
        <f>IF(OR(C220="",A220=""),"",IF(A220&lt;'Page de garde'!$G$7,IF(VALUE(RIGHT(C220,2))&lt;50,66,86),INDEX(EC!$C$2:$C$677,MATCH(C220,EC,0))))</f>
        <v/>
      </c>
      <c r="F220" s="33" t="str">
        <f t="shared" si="22"/>
        <v/>
      </c>
      <c r="G220" s="38"/>
      <c r="H220" s="38"/>
      <c r="I220" s="38"/>
      <c r="J220" s="36"/>
      <c r="K220" s="29"/>
      <c r="L220" s="29"/>
      <c r="M220" s="31"/>
      <c r="N220" s="40">
        <f t="shared" si="23"/>
        <v>0</v>
      </c>
      <c r="P220" s="4" t="str">
        <f t="shared" si="24"/>
        <v/>
      </c>
      <c r="Q220" s="4" t="str">
        <f t="shared" si="25"/>
        <v/>
      </c>
      <c r="R220" s="4" t="str">
        <f t="shared" si="26"/>
        <v>/</v>
      </c>
      <c r="S220" s="4" t="str">
        <f t="shared" si="27"/>
        <v/>
      </c>
    </row>
    <row r="221" spans="1:19" x14ac:dyDescent="0.35">
      <c r="A221" s="54"/>
      <c r="B221" s="57"/>
      <c r="C221" s="60"/>
      <c r="D221" s="66" t="str">
        <f t="shared" si="21"/>
        <v/>
      </c>
      <c r="E221" s="64" t="str">
        <f>IF(OR(C221="",A221=""),"",IF(A221&lt;'Page de garde'!$G$7,IF(VALUE(RIGHT(C221,2))&lt;50,66,86),INDEX(EC!$C$2:$C$677,MATCH(C221,EC,0))))</f>
        <v/>
      </c>
      <c r="F221" s="33" t="str">
        <f t="shared" si="22"/>
        <v/>
      </c>
      <c r="G221" s="38"/>
      <c r="H221" s="38"/>
      <c r="I221" s="38"/>
      <c r="J221" s="36"/>
      <c r="K221" s="29"/>
      <c r="L221" s="29"/>
      <c r="M221" s="31"/>
      <c r="N221" s="40">
        <f t="shared" si="23"/>
        <v>0</v>
      </c>
      <c r="P221" s="4" t="str">
        <f t="shared" si="24"/>
        <v/>
      </c>
      <c r="Q221" s="4" t="str">
        <f t="shared" si="25"/>
        <v/>
      </c>
      <c r="R221" s="4" t="str">
        <f t="shared" si="26"/>
        <v>/</v>
      </c>
      <c r="S221" s="4" t="str">
        <f t="shared" si="27"/>
        <v/>
      </c>
    </row>
    <row r="222" spans="1:19" x14ac:dyDescent="0.35">
      <c r="A222" s="54"/>
      <c r="B222" s="57"/>
      <c r="C222" s="60"/>
      <c r="D222" s="66" t="str">
        <f t="shared" si="21"/>
        <v/>
      </c>
      <c r="E222" s="64" t="str">
        <f>IF(OR(C222="",A222=""),"",IF(A222&lt;'Page de garde'!$G$7,IF(VALUE(RIGHT(C222,2))&lt;50,66,86),INDEX(EC!$C$2:$C$677,MATCH(C222,EC,0))))</f>
        <v/>
      </c>
      <c r="F222" s="33" t="str">
        <f t="shared" si="22"/>
        <v/>
      </c>
      <c r="G222" s="38"/>
      <c r="H222" s="38"/>
      <c r="I222" s="38"/>
      <c r="J222" s="36"/>
      <c r="K222" s="29"/>
      <c r="L222" s="29"/>
      <c r="M222" s="31"/>
      <c r="N222" s="40">
        <f t="shared" si="23"/>
        <v>0</v>
      </c>
      <c r="P222" s="4" t="str">
        <f t="shared" si="24"/>
        <v/>
      </c>
      <c r="Q222" s="4" t="str">
        <f t="shared" si="25"/>
        <v/>
      </c>
      <c r="R222" s="4" t="str">
        <f t="shared" si="26"/>
        <v>/</v>
      </c>
      <c r="S222" s="4" t="str">
        <f t="shared" si="27"/>
        <v/>
      </c>
    </row>
    <row r="223" spans="1:19" x14ac:dyDescent="0.35">
      <c r="A223" s="54"/>
      <c r="B223" s="57"/>
      <c r="C223" s="60"/>
      <c r="D223" s="66" t="str">
        <f t="shared" si="21"/>
        <v/>
      </c>
      <c r="E223" s="64" t="str">
        <f>IF(OR(C223="",A223=""),"",IF(A223&lt;'Page de garde'!$G$7,IF(VALUE(RIGHT(C223,2))&lt;50,66,86),INDEX(EC!$C$2:$C$677,MATCH(C223,EC,0))))</f>
        <v/>
      </c>
      <c r="F223" s="33" t="str">
        <f t="shared" si="22"/>
        <v/>
      </c>
      <c r="G223" s="38"/>
      <c r="H223" s="38"/>
      <c r="I223" s="38"/>
      <c r="J223" s="36"/>
      <c r="K223" s="29"/>
      <c r="L223" s="29"/>
      <c r="M223" s="31"/>
      <c r="N223" s="40">
        <f t="shared" si="23"/>
        <v>0</v>
      </c>
      <c r="P223" s="4" t="str">
        <f t="shared" si="24"/>
        <v/>
      </c>
      <c r="Q223" s="4" t="str">
        <f t="shared" si="25"/>
        <v/>
      </c>
      <c r="R223" s="4" t="str">
        <f t="shared" si="26"/>
        <v>/</v>
      </c>
      <c r="S223" s="4" t="str">
        <f t="shared" si="27"/>
        <v/>
      </c>
    </row>
    <row r="224" spans="1:19" x14ac:dyDescent="0.35">
      <c r="A224" s="54"/>
      <c r="B224" s="57"/>
      <c r="C224" s="60"/>
      <c r="D224" s="66" t="str">
        <f t="shared" si="21"/>
        <v/>
      </c>
      <c r="E224" s="64" t="str">
        <f>IF(OR(C224="",A224=""),"",IF(A224&lt;'Page de garde'!$G$7,IF(VALUE(RIGHT(C224,2))&lt;50,66,86),INDEX(EC!$C$2:$C$677,MATCH(C224,EC,0))))</f>
        <v/>
      </c>
      <c r="F224" s="33" t="str">
        <f t="shared" si="22"/>
        <v/>
      </c>
      <c r="G224" s="38"/>
      <c r="H224" s="38"/>
      <c r="I224" s="38"/>
      <c r="J224" s="36"/>
      <c r="K224" s="29"/>
      <c r="L224" s="29"/>
      <c r="M224" s="31"/>
      <c r="N224" s="40">
        <f t="shared" si="23"/>
        <v>0</v>
      </c>
      <c r="P224" s="4" t="str">
        <f t="shared" si="24"/>
        <v/>
      </c>
      <c r="Q224" s="4" t="str">
        <f t="shared" si="25"/>
        <v/>
      </c>
      <c r="R224" s="4" t="str">
        <f t="shared" si="26"/>
        <v>/</v>
      </c>
      <c r="S224" s="4" t="str">
        <f t="shared" si="27"/>
        <v/>
      </c>
    </row>
    <row r="225" spans="1:19" x14ac:dyDescent="0.35">
      <c r="A225" s="54"/>
      <c r="B225" s="57"/>
      <c r="C225" s="60"/>
      <c r="D225" s="66" t="str">
        <f t="shared" si="21"/>
        <v/>
      </c>
      <c r="E225" s="64" t="str">
        <f>IF(OR(C225="",A225=""),"",IF(A225&lt;'Page de garde'!$G$7,IF(VALUE(RIGHT(C225,2))&lt;50,66,86),INDEX(EC!$C$2:$C$677,MATCH(C225,EC,0))))</f>
        <v/>
      </c>
      <c r="F225" s="33" t="str">
        <f t="shared" si="22"/>
        <v/>
      </c>
      <c r="G225" s="38"/>
      <c r="H225" s="38"/>
      <c r="I225" s="38"/>
      <c r="J225" s="36"/>
      <c r="K225" s="29"/>
      <c r="L225" s="29"/>
      <c r="M225" s="31"/>
      <c r="N225" s="40">
        <f t="shared" si="23"/>
        <v>0</v>
      </c>
      <c r="P225" s="4" t="str">
        <f t="shared" si="24"/>
        <v/>
      </c>
      <c r="Q225" s="4" t="str">
        <f t="shared" si="25"/>
        <v/>
      </c>
      <c r="R225" s="4" t="str">
        <f t="shared" si="26"/>
        <v>/</v>
      </c>
      <c r="S225" s="4" t="str">
        <f t="shared" si="27"/>
        <v/>
      </c>
    </row>
    <row r="226" spans="1:19" x14ac:dyDescent="0.35">
      <c r="A226" s="54"/>
      <c r="B226" s="57"/>
      <c r="C226" s="60"/>
      <c r="D226" s="66" t="str">
        <f t="shared" si="21"/>
        <v/>
      </c>
      <c r="E226" s="64" t="str">
        <f>IF(OR(C226="",A226=""),"",IF(A226&lt;'Page de garde'!$G$7,IF(VALUE(RIGHT(C226,2))&lt;50,66,86),INDEX(EC!$C$2:$C$677,MATCH(C226,EC,0))))</f>
        <v/>
      </c>
      <c r="F226" s="33" t="str">
        <f t="shared" si="22"/>
        <v/>
      </c>
      <c r="G226" s="38"/>
      <c r="H226" s="38"/>
      <c r="I226" s="38"/>
      <c r="J226" s="36"/>
      <c r="K226" s="29"/>
      <c r="L226" s="29"/>
      <c r="M226" s="31"/>
      <c r="N226" s="40">
        <f t="shared" si="23"/>
        <v>0</v>
      </c>
      <c r="P226" s="4" t="str">
        <f t="shared" si="24"/>
        <v/>
      </c>
      <c r="Q226" s="4" t="str">
        <f t="shared" si="25"/>
        <v/>
      </c>
      <c r="R226" s="4" t="str">
        <f t="shared" si="26"/>
        <v>/</v>
      </c>
      <c r="S226" s="4" t="str">
        <f t="shared" si="27"/>
        <v/>
      </c>
    </row>
    <row r="227" spans="1:19" x14ac:dyDescent="0.35">
      <c r="A227" s="54"/>
      <c r="B227" s="57"/>
      <c r="C227" s="60"/>
      <c r="D227" s="66" t="str">
        <f t="shared" si="21"/>
        <v/>
      </c>
      <c r="E227" s="64" t="str">
        <f>IF(OR(C227="",A227=""),"",IF(A227&lt;'Page de garde'!$G$7,IF(VALUE(RIGHT(C227,2))&lt;50,66,86),INDEX(EC!$C$2:$C$677,MATCH(C227,EC,0))))</f>
        <v/>
      </c>
      <c r="F227" s="33" t="str">
        <f t="shared" si="22"/>
        <v/>
      </c>
      <c r="G227" s="38"/>
      <c r="H227" s="38"/>
      <c r="I227" s="38"/>
      <c r="J227" s="36"/>
      <c r="K227" s="29"/>
      <c r="L227" s="29"/>
      <c r="M227" s="31"/>
      <c r="N227" s="40">
        <f t="shared" si="23"/>
        <v>0</v>
      </c>
      <c r="P227" s="4" t="str">
        <f t="shared" si="24"/>
        <v/>
      </c>
      <c r="Q227" s="4" t="str">
        <f t="shared" si="25"/>
        <v/>
      </c>
      <c r="R227" s="4" t="str">
        <f t="shared" si="26"/>
        <v>/</v>
      </c>
      <c r="S227" s="4" t="str">
        <f t="shared" si="27"/>
        <v/>
      </c>
    </row>
    <row r="228" spans="1:19" x14ac:dyDescent="0.35">
      <c r="A228" s="54"/>
      <c r="B228" s="57"/>
      <c r="C228" s="60"/>
      <c r="D228" s="66" t="str">
        <f t="shared" si="21"/>
        <v/>
      </c>
      <c r="E228" s="64" t="str">
        <f>IF(OR(C228="",A228=""),"",IF(A228&lt;'Page de garde'!$G$7,IF(VALUE(RIGHT(C228,2))&lt;50,66,86),INDEX(EC!$C$2:$C$677,MATCH(C228,EC,0))))</f>
        <v/>
      </c>
      <c r="F228" s="33" t="str">
        <f t="shared" si="22"/>
        <v/>
      </c>
      <c r="G228" s="38"/>
      <c r="H228" s="38"/>
      <c r="I228" s="38"/>
      <c r="J228" s="36"/>
      <c r="K228" s="29"/>
      <c r="L228" s="29"/>
      <c r="M228" s="31"/>
      <c r="N228" s="40">
        <f t="shared" si="23"/>
        <v>0</v>
      </c>
      <c r="P228" s="4" t="str">
        <f t="shared" si="24"/>
        <v/>
      </c>
      <c r="Q228" s="4" t="str">
        <f t="shared" si="25"/>
        <v/>
      </c>
      <c r="R228" s="4" t="str">
        <f t="shared" si="26"/>
        <v>/</v>
      </c>
      <c r="S228" s="4" t="str">
        <f t="shared" si="27"/>
        <v/>
      </c>
    </row>
    <row r="229" spans="1:19" x14ac:dyDescent="0.35">
      <c r="A229" s="54"/>
      <c r="B229" s="57"/>
      <c r="C229" s="60"/>
      <c r="D229" s="66" t="str">
        <f t="shared" si="21"/>
        <v/>
      </c>
      <c r="E229" s="64" t="str">
        <f>IF(OR(C229="",A229=""),"",IF(A229&lt;'Page de garde'!$G$7,IF(VALUE(RIGHT(C229,2))&lt;50,66,86),INDEX(EC!$C$2:$C$677,MATCH(C229,EC,0))))</f>
        <v/>
      </c>
      <c r="F229" s="33" t="str">
        <f t="shared" si="22"/>
        <v/>
      </c>
      <c r="G229" s="38"/>
      <c r="H229" s="38"/>
      <c r="I229" s="38"/>
      <c r="J229" s="36"/>
      <c r="K229" s="29"/>
      <c r="L229" s="29"/>
      <c r="M229" s="31"/>
      <c r="N229" s="40">
        <f t="shared" si="23"/>
        <v>0</v>
      </c>
      <c r="P229" s="4" t="str">
        <f t="shared" si="24"/>
        <v/>
      </c>
      <c r="Q229" s="4" t="str">
        <f t="shared" si="25"/>
        <v/>
      </c>
      <c r="R229" s="4" t="str">
        <f t="shared" si="26"/>
        <v>/</v>
      </c>
      <c r="S229" s="4" t="str">
        <f t="shared" si="27"/>
        <v/>
      </c>
    </row>
    <row r="230" spans="1:19" x14ac:dyDescent="0.35">
      <c r="A230" s="54"/>
      <c r="B230" s="57"/>
      <c r="C230" s="60"/>
      <c r="D230" s="66" t="str">
        <f t="shared" si="21"/>
        <v/>
      </c>
      <c r="E230" s="64" t="str">
        <f>IF(OR(C230="",A230=""),"",IF(A230&lt;'Page de garde'!$G$7,IF(VALUE(RIGHT(C230,2))&lt;50,66,86),INDEX(EC!$C$2:$C$677,MATCH(C230,EC,0))))</f>
        <v/>
      </c>
      <c r="F230" s="33" t="str">
        <f t="shared" si="22"/>
        <v/>
      </c>
      <c r="G230" s="38"/>
      <c r="H230" s="38"/>
      <c r="I230" s="38"/>
      <c r="J230" s="36"/>
      <c r="K230" s="29"/>
      <c r="L230" s="29"/>
      <c r="M230" s="31"/>
      <c r="N230" s="40">
        <f t="shared" si="23"/>
        <v>0</v>
      </c>
      <c r="P230" s="4" t="str">
        <f t="shared" si="24"/>
        <v/>
      </c>
      <c r="Q230" s="4" t="str">
        <f t="shared" si="25"/>
        <v/>
      </c>
      <c r="R230" s="4" t="str">
        <f t="shared" si="26"/>
        <v>/</v>
      </c>
      <c r="S230" s="4" t="str">
        <f t="shared" si="27"/>
        <v/>
      </c>
    </row>
    <row r="231" spans="1:19" x14ac:dyDescent="0.35">
      <c r="A231" s="54"/>
      <c r="B231" s="57"/>
      <c r="C231" s="60"/>
      <c r="D231" s="66" t="str">
        <f t="shared" si="21"/>
        <v/>
      </c>
      <c r="E231" s="64" t="str">
        <f>IF(OR(C231="",A231=""),"",IF(A231&lt;'Page de garde'!$G$7,IF(VALUE(RIGHT(C231,2))&lt;50,66,86),INDEX(EC!$C$2:$C$677,MATCH(C231,EC,0))))</f>
        <v/>
      </c>
      <c r="F231" s="33" t="str">
        <f t="shared" si="22"/>
        <v/>
      </c>
      <c r="G231" s="38"/>
      <c r="H231" s="38"/>
      <c r="I231" s="38"/>
      <c r="J231" s="36"/>
      <c r="K231" s="29"/>
      <c r="L231" s="29"/>
      <c r="M231" s="31"/>
      <c r="N231" s="40">
        <f t="shared" si="23"/>
        <v>0</v>
      </c>
      <c r="P231" s="4" t="str">
        <f t="shared" si="24"/>
        <v/>
      </c>
      <c r="Q231" s="4" t="str">
        <f t="shared" si="25"/>
        <v/>
      </c>
      <c r="R231" s="4" t="str">
        <f t="shared" si="26"/>
        <v>/</v>
      </c>
      <c r="S231" s="4" t="str">
        <f t="shared" si="27"/>
        <v/>
      </c>
    </row>
    <row r="232" spans="1:19" x14ac:dyDescent="0.35">
      <c r="A232" s="54"/>
      <c r="B232" s="57"/>
      <c r="C232" s="60"/>
      <c r="D232" s="66" t="str">
        <f t="shared" si="21"/>
        <v/>
      </c>
      <c r="E232" s="64" t="str">
        <f>IF(OR(C232="",A232=""),"",IF(A232&lt;'Page de garde'!$G$7,IF(VALUE(RIGHT(C232,2))&lt;50,66,86),INDEX(EC!$C$2:$C$677,MATCH(C232,EC,0))))</f>
        <v/>
      </c>
      <c r="F232" s="33" t="str">
        <f t="shared" si="22"/>
        <v/>
      </c>
      <c r="G232" s="38"/>
      <c r="H232" s="38"/>
      <c r="I232" s="38"/>
      <c r="J232" s="36"/>
      <c r="K232" s="29"/>
      <c r="L232" s="29"/>
      <c r="M232" s="31"/>
      <c r="N232" s="40">
        <f t="shared" si="23"/>
        <v>0</v>
      </c>
      <c r="P232" s="4" t="str">
        <f t="shared" si="24"/>
        <v/>
      </c>
      <c r="Q232" s="4" t="str">
        <f t="shared" si="25"/>
        <v/>
      </c>
      <c r="R232" s="4" t="str">
        <f t="shared" si="26"/>
        <v>/</v>
      </c>
      <c r="S232" s="4" t="str">
        <f t="shared" si="27"/>
        <v/>
      </c>
    </row>
    <row r="233" spans="1:19" x14ac:dyDescent="0.35">
      <c r="A233" s="54"/>
      <c r="B233" s="57"/>
      <c r="C233" s="60"/>
      <c r="D233" s="66" t="str">
        <f t="shared" si="21"/>
        <v/>
      </c>
      <c r="E233" s="64" t="str">
        <f>IF(OR(C233="",A233=""),"",IF(A233&lt;'Page de garde'!$G$7,IF(VALUE(RIGHT(C233,2))&lt;50,66,86),INDEX(EC!$C$2:$C$677,MATCH(C233,EC,0))))</f>
        <v/>
      </c>
      <c r="F233" s="33" t="str">
        <f t="shared" si="22"/>
        <v/>
      </c>
      <c r="G233" s="38"/>
      <c r="H233" s="38"/>
      <c r="I233" s="38"/>
      <c r="J233" s="36"/>
      <c r="K233" s="29"/>
      <c r="L233" s="29"/>
      <c r="M233" s="31"/>
      <c r="N233" s="40">
        <f t="shared" si="23"/>
        <v>0</v>
      </c>
      <c r="P233" s="4" t="str">
        <f t="shared" si="24"/>
        <v/>
      </c>
      <c r="Q233" s="4" t="str">
        <f t="shared" si="25"/>
        <v/>
      </c>
      <c r="R233" s="4" t="str">
        <f t="shared" si="26"/>
        <v>/</v>
      </c>
      <c r="S233" s="4" t="str">
        <f t="shared" si="27"/>
        <v/>
      </c>
    </row>
    <row r="234" spans="1:19" x14ac:dyDescent="0.35">
      <c r="A234" s="54"/>
      <c r="B234" s="57"/>
      <c r="C234" s="60"/>
      <c r="D234" s="66" t="str">
        <f t="shared" si="21"/>
        <v/>
      </c>
      <c r="E234" s="64" t="str">
        <f>IF(OR(C234="",A234=""),"",IF(A234&lt;'Page de garde'!$G$7,IF(VALUE(RIGHT(C234,2))&lt;50,66,86),INDEX(EC!$C$2:$C$677,MATCH(C234,EC,0))))</f>
        <v/>
      </c>
      <c r="F234" s="33" t="str">
        <f t="shared" si="22"/>
        <v/>
      </c>
      <c r="G234" s="38"/>
      <c r="H234" s="38"/>
      <c r="I234" s="38"/>
      <c r="J234" s="36"/>
      <c r="K234" s="29"/>
      <c r="L234" s="29"/>
      <c r="M234" s="31"/>
      <c r="N234" s="40">
        <f t="shared" si="23"/>
        <v>0</v>
      </c>
      <c r="P234" s="4" t="str">
        <f t="shared" si="24"/>
        <v/>
      </c>
      <c r="Q234" s="4" t="str">
        <f t="shared" si="25"/>
        <v/>
      </c>
      <c r="R234" s="4" t="str">
        <f t="shared" si="26"/>
        <v>/</v>
      </c>
      <c r="S234" s="4" t="str">
        <f t="shared" si="27"/>
        <v/>
      </c>
    </row>
    <row r="235" spans="1:19" x14ac:dyDescent="0.35">
      <c r="A235" s="54"/>
      <c r="B235" s="57"/>
      <c r="C235" s="60"/>
      <c r="D235" s="66" t="str">
        <f t="shared" si="21"/>
        <v/>
      </c>
      <c r="E235" s="64" t="str">
        <f>IF(OR(C235="",A235=""),"",IF(A235&lt;'Page de garde'!$G$7,IF(VALUE(RIGHT(C235,2))&lt;50,66,86),INDEX(EC!$C$2:$C$677,MATCH(C235,EC,0))))</f>
        <v/>
      </c>
      <c r="F235" s="33" t="str">
        <f t="shared" si="22"/>
        <v/>
      </c>
      <c r="G235" s="38"/>
      <c r="H235" s="38"/>
      <c r="I235" s="38"/>
      <c r="J235" s="36"/>
      <c r="K235" s="29"/>
      <c r="L235" s="29"/>
      <c r="M235" s="31"/>
      <c r="N235" s="40">
        <f t="shared" si="23"/>
        <v>0</v>
      </c>
      <c r="P235" s="4" t="str">
        <f t="shared" si="24"/>
        <v/>
      </c>
      <c r="Q235" s="4" t="str">
        <f t="shared" si="25"/>
        <v/>
      </c>
      <c r="R235" s="4" t="str">
        <f t="shared" si="26"/>
        <v>/</v>
      </c>
      <c r="S235" s="4" t="str">
        <f t="shared" si="27"/>
        <v/>
      </c>
    </row>
    <row r="236" spans="1:19" x14ac:dyDescent="0.35">
      <c r="A236" s="54"/>
      <c r="B236" s="57"/>
      <c r="C236" s="60"/>
      <c r="D236" s="66" t="str">
        <f t="shared" si="21"/>
        <v/>
      </c>
      <c r="E236" s="64" t="str">
        <f>IF(OR(C236="",A236=""),"",IF(A236&lt;'Page de garde'!$G$7,IF(VALUE(RIGHT(C236,2))&lt;50,66,86),INDEX(EC!$C$2:$C$677,MATCH(C236,EC,0))))</f>
        <v/>
      </c>
      <c r="F236" s="33" t="str">
        <f t="shared" si="22"/>
        <v/>
      </c>
      <c r="G236" s="38"/>
      <c r="H236" s="38"/>
      <c r="I236" s="38"/>
      <c r="J236" s="36"/>
      <c r="K236" s="29"/>
      <c r="L236" s="29"/>
      <c r="M236" s="31"/>
      <c r="N236" s="40">
        <f t="shared" si="23"/>
        <v>0</v>
      </c>
      <c r="P236" s="4" t="str">
        <f t="shared" si="24"/>
        <v/>
      </c>
      <c r="Q236" s="4" t="str">
        <f t="shared" si="25"/>
        <v/>
      </c>
      <c r="R236" s="4" t="str">
        <f t="shared" si="26"/>
        <v>/</v>
      </c>
      <c r="S236" s="4" t="str">
        <f t="shared" si="27"/>
        <v/>
      </c>
    </row>
    <row r="237" spans="1:19" x14ac:dyDescent="0.35">
      <c r="A237" s="54"/>
      <c r="B237" s="57"/>
      <c r="C237" s="60"/>
      <c r="D237" s="66" t="str">
        <f t="shared" si="21"/>
        <v/>
      </c>
      <c r="E237" s="64" t="str">
        <f>IF(OR(C237="",A237=""),"",IF(A237&lt;'Page de garde'!$G$7,IF(VALUE(RIGHT(C237,2))&lt;50,66,86),INDEX(EC!$C$2:$C$677,MATCH(C237,EC,0))))</f>
        <v/>
      </c>
      <c r="F237" s="33" t="str">
        <f t="shared" si="22"/>
        <v/>
      </c>
      <c r="G237" s="38"/>
      <c r="H237" s="38"/>
      <c r="I237" s="38"/>
      <c r="J237" s="36"/>
      <c r="K237" s="29"/>
      <c r="L237" s="29"/>
      <c r="M237" s="31"/>
      <c r="N237" s="40">
        <f t="shared" si="23"/>
        <v>0</v>
      </c>
      <c r="P237" s="4" t="str">
        <f t="shared" si="24"/>
        <v/>
      </c>
      <c r="Q237" s="4" t="str">
        <f t="shared" si="25"/>
        <v/>
      </c>
      <c r="R237" s="4" t="str">
        <f t="shared" si="26"/>
        <v>/</v>
      </c>
      <c r="S237" s="4" t="str">
        <f t="shared" si="27"/>
        <v/>
      </c>
    </row>
    <row r="238" spans="1:19" x14ac:dyDescent="0.35">
      <c r="A238" s="54"/>
      <c r="B238" s="57"/>
      <c r="C238" s="60"/>
      <c r="D238" s="66" t="str">
        <f t="shared" si="21"/>
        <v/>
      </c>
      <c r="E238" s="64" t="str">
        <f>IF(OR(C238="",A238=""),"",IF(A238&lt;'Page de garde'!$G$7,IF(VALUE(RIGHT(C238,2))&lt;50,66,86),INDEX(EC!$C$2:$C$677,MATCH(C238,EC,0))))</f>
        <v/>
      </c>
      <c r="F238" s="33" t="str">
        <f t="shared" si="22"/>
        <v/>
      </c>
      <c r="G238" s="38"/>
      <c r="H238" s="38"/>
      <c r="I238" s="38"/>
      <c r="J238" s="36"/>
      <c r="K238" s="29"/>
      <c r="L238" s="29"/>
      <c r="M238" s="31"/>
      <c r="N238" s="40">
        <f t="shared" si="23"/>
        <v>0</v>
      </c>
      <c r="P238" s="4" t="str">
        <f t="shared" si="24"/>
        <v/>
      </c>
      <c r="Q238" s="4" t="str">
        <f t="shared" si="25"/>
        <v/>
      </c>
      <c r="R238" s="4" t="str">
        <f t="shared" si="26"/>
        <v>/</v>
      </c>
      <c r="S238" s="4" t="str">
        <f t="shared" si="27"/>
        <v/>
      </c>
    </row>
    <row r="239" spans="1:19" x14ac:dyDescent="0.35">
      <c r="A239" s="54"/>
      <c r="B239" s="57"/>
      <c r="C239" s="60"/>
      <c r="D239" s="66" t="str">
        <f t="shared" si="21"/>
        <v/>
      </c>
      <c r="E239" s="64" t="str">
        <f>IF(OR(C239="",A239=""),"",IF(A239&lt;'Page de garde'!$G$7,IF(VALUE(RIGHT(C239,2))&lt;50,66,86),INDEX(EC!$C$2:$C$677,MATCH(C239,EC,0))))</f>
        <v/>
      </c>
      <c r="F239" s="33" t="str">
        <f t="shared" si="22"/>
        <v/>
      </c>
      <c r="G239" s="38"/>
      <c r="H239" s="38"/>
      <c r="I239" s="38"/>
      <c r="J239" s="36"/>
      <c r="K239" s="29"/>
      <c r="L239" s="29"/>
      <c r="M239" s="31"/>
      <c r="N239" s="40">
        <f t="shared" si="23"/>
        <v>0</v>
      </c>
      <c r="P239" s="4" t="str">
        <f t="shared" si="24"/>
        <v/>
      </c>
      <c r="Q239" s="4" t="str">
        <f t="shared" si="25"/>
        <v/>
      </c>
      <c r="R239" s="4" t="str">
        <f t="shared" si="26"/>
        <v>/</v>
      </c>
      <c r="S239" s="4" t="str">
        <f t="shared" si="27"/>
        <v/>
      </c>
    </row>
    <row r="240" spans="1:19" x14ac:dyDescent="0.35">
      <c r="A240" s="54"/>
      <c r="B240" s="57"/>
      <c r="C240" s="60"/>
      <c r="D240" s="66" t="str">
        <f t="shared" si="21"/>
        <v/>
      </c>
      <c r="E240" s="64" t="str">
        <f>IF(OR(C240="",A240=""),"",IF(A240&lt;'Page de garde'!$G$7,IF(VALUE(RIGHT(C240,2))&lt;50,66,86),INDEX(EC!$C$2:$C$677,MATCH(C240,EC,0))))</f>
        <v/>
      </c>
      <c r="F240" s="33" t="str">
        <f t="shared" si="22"/>
        <v/>
      </c>
      <c r="G240" s="38"/>
      <c r="H240" s="38"/>
      <c r="I240" s="38"/>
      <c r="J240" s="36"/>
      <c r="K240" s="29"/>
      <c r="L240" s="29"/>
      <c r="M240" s="31"/>
      <c r="N240" s="40">
        <f t="shared" si="23"/>
        <v>0</v>
      </c>
      <c r="P240" s="4" t="str">
        <f t="shared" si="24"/>
        <v/>
      </c>
      <c r="Q240" s="4" t="str">
        <f t="shared" si="25"/>
        <v/>
      </c>
      <c r="R240" s="4" t="str">
        <f t="shared" si="26"/>
        <v>/</v>
      </c>
      <c r="S240" s="4" t="str">
        <f t="shared" si="27"/>
        <v/>
      </c>
    </row>
    <row r="241" spans="1:19" x14ac:dyDescent="0.35">
      <c r="A241" s="54"/>
      <c r="B241" s="57"/>
      <c r="C241" s="60"/>
      <c r="D241" s="66" t="str">
        <f t="shared" si="21"/>
        <v/>
      </c>
      <c r="E241" s="64" t="str">
        <f>IF(OR(C241="",A241=""),"",IF(A241&lt;'Page de garde'!$G$7,IF(VALUE(RIGHT(C241,2))&lt;50,66,86),INDEX(EC!$C$2:$C$677,MATCH(C241,EC,0))))</f>
        <v/>
      </c>
      <c r="F241" s="33" t="str">
        <f t="shared" si="22"/>
        <v/>
      </c>
      <c r="G241" s="38"/>
      <c r="H241" s="38"/>
      <c r="I241" s="38"/>
      <c r="J241" s="36"/>
      <c r="K241" s="29"/>
      <c r="L241" s="29"/>
      <c r="M241" s="31"/>
      <c r="N241" s="40">
        <f t="shared" si="23"/>
        <v>0</v>
      </c>
      <c r="P241" s="4" t="str">
        <f t="shared" si="24"/>
        <v/>
      </c>
      <c r="Q241" s="4" t="str">
        <f t="shared" si="25"/>
        <v/>
      </c>
      <c r="R241" s="4" t="str">
        <f t="shared" si="26"/>
        <v>/</v>
      </c>
      <c r="S241" s="4" t="str">
        <f t="shared" si="27"/>
        <v/>
      </c>
    </row>
    <row r="242" spans="1:19" x14ac:dyDescent="0.35">
      <c r="A242" s="54"/>
      <c r="B242" s="57"/>
      <c r="C242" s="60"/>
      <c r="D242" s="66" t="str">
        <f t="shared" si="21"/>
        <v/>
      </c>
      <c r="E242" s="64" t="str">
        <f>IF(OR(C242="",A242=""),"",IF(A242&lt;'Page de garde'!$G$7,IF(VALUE(RIGHT(C242,2))&lt;50,66,86),INDEX(EC!$C$2:$C$677,MATCH(C242,EC,0))))</f>
        <v/>
      </c>
      <c r="F242" s="33" t="str">
        <f t="shared" si="22"/>
        <v/>
      </c>
      <c r="G242" s="38"/>
      <c r="H242" s="38"/>
      <c r="I242" s="38"/>
      <c r="J242" s="36"/>
      <c r="K242" s="29"/>
      <c r="L242" s="29"/>
      <c r="M242" s="31"/>
      <c r="N242" s="40">
        <f t="shared" si="23"/>
        <v>0</v>
      </c>
      <c r="P242" s="4" t="str">
        <f t="shared" si="24"/>
        <v/>
      </c>
      <c r="Q242" s="4" t="str">
        <f t="shared" si="25"/>
        <v/>
      </c>
      <c r="R242" s="4" t="str">
        <f t="shared" si="26"/>
        <v>/</v>
      </c>
      <c r="S242" s="4" t="str">
        <f t="shared" si="27"/>
        <v/>
      </c>
    </row>
    <row r="243" spans="1:19" x14ac:dyDescent="0.35">
      <c r="A243" s="54"/>
      <c r="B243" s="57"/>
      <c r="C243" s="60"/>
      <c r="D243" s="66" t="str">
        <f t="shared" si="21"/>
        <v/>
      </c>
      <c r="E243" s="64" t="str">
        <f>IF(OR(C243="",A243=""),"",IF(A243&lt;'Page de garde'!$G$7,IF(VALUE(RIGHT(C243,2))&lt;50,66,86),INDEX(EC!$C$2:$C$677,MATCH(C243,EC,0))))</f>
        <v/>
      </c>
      <c r="F243" s="33" t="str">
        <f t="shared" si="22"/>
        <v/>
      </c>
      <c r="G243" s="38"/>
      <c r="H243" s="38"/>
      <c r="I243" s="38"/>
      <c r="J243" s="36"/>
      <c r="K243" s="29"/>
      <c r="L243" s="29"/>
      <c r="M243" s="31"/>
      <c r="N243" s="40">
        <f t="shared" si="23"/>
        <v>0</v>
      </c>
      <c r="P243" s="4" t="str">
        <f t="shared" si="24"/>
        <v/>
      </c>
      <c r="Q243" s="4" t="str">
        <f t="shared" si="25"/>
        <v/>
      </c>
      <c r="R243" s="4" t="str">
        <f t="shared" si="26"/>
        <v>/</v>
      </c>
      <c r="S243" s="4" t="str">
        <f t="shared" si="27"/>
        <v/>
      </c>
    </row>
    <row r="244" spans="1:19" x14ac:dyDescent="0.35">
      <c r="A244" s="54"/>
      <c r="B244" s="57"/>
      <c r="C244" s="60"/>
      <c r="D244" s="66" t="str">
        <f t="shared" si="21"/>
        <v/>
      </c>
      <c r="E244" s="64" t="str">
        <f>IF(OR(C244="",A244=""),"",IF(A244&lt;'Page de garde'!$G$7,IF(VALUE(RIGHT(C244,2))&lt;50,66,86),INDEX(EC!$C$2:$C$677,MATCH(C244,EC,0))))</f>
        <v/>
      </c>
      <c r="F244" s="33" t="str">
        <f t="shared" si="22"/>
        <v/>
      </c>
      <c r="G244" s="38"/>
      <c r="H244" s="38"/>
      <c r="I244" s="38"/>
      <c r="J244" s="36"/>
      <c r="K244" s="29"/>
      <c r="L244" s="29"/>
      <c r="M244" s="31"/>
      <c r="N244" s="40">
        <f t="shared" si="23"/>
        <v>0</v>
      </c>
      <c r="P244" s="4" t="str">
        <f t="shared" si="24"/>
        <v/>
      </c>
      <c r="Q244" s="4" t="str">
        <f t="shared" si="25"/>
        <v/>
      </c>
      <c r="R244" s="4" t="str">
        <f t="shared" si="26"/>
        <v>/</v>
      </c>
      <c r="S244" s="4" t="str">
        <f t="shared" si="27"/>
        <v/>
      </c>
    </row>
    <row r="245" spans="1:19" x14ac:dyDescent="0.35">
      <c r="A245" s="54"/>
      <c r="B245" s="57"/>
      <c r="C245" s="60"/>
      <c r="D245" s="66" t="str">
        <f t="shared" si="21"/>
        <v/>
      </c>
      <c r="E245" s="64" t="str">
        <f>IF(OR(C245="",A245=""),"",IF(A245&lt;'Page de garde'!$G$7,IF(VALUE(RIGHT(C245,2))&lt;50,66,86),INDEX(EC!$C$2:$C$677,MATCH(C245,EC,0))))</f>
        <v/>
      </c>
      <c r="F245" s="33" t="str">
        <f t="shared" si="22"/>
        <v/>
      </c>
      <c r="G245" s="38"/>
      <c r="H245" s="38"/>
      <c r="I245" s="38"/>
      <c r="J245" s="36"/>
      <c r="K245" s="29"/>
      <c r="L245" s="29"/>
      <c r="M245" s="31"/>
      <c r="N245" s="40">
        <f t="shared" si="23"/>
        <v>0</v>
      </c>
      <c r="P245" s="4" t="str">
        <f t="shared" si="24"/>
        <v/>
      </c>
      <c r="Q245" s="4" t="str">
        <f t="shared" si="25"/>
        <v/>
      </c>
      <c r="R245" s="4" t="str">
        <f t="shared" si="26"/>
        <v>/</v>
      </c>
      <c r="S245" s="4" t="str">
        <f t="shared" si="27"/>
        <v/>
      </c>
    </row>
    <row r="246" spans="1:19" x14ac:dyDescent="0.35">
      <c r="A246" s="54"/>
      <c r="B246" s="57"/>
      <c r="C246" s="60"/>
      <c r="D246" s="66" t="str">
        <f t="shared" si="21"/>
        <v/>
      </c>
      <c r="E246" s="64" t="str">
        <f>IF(OR(C246="",A246=""),"",IF(A246&lt;'Page de garde'!$G$7,IF(VALUE(RIGHT(C246,2))&lt;50,66,86),INDEX(EC!$C$2:$C$677,MATCH(C246,EC,0))))</f>
        <v/>
      </c>
      <c r="F246" s="33" t="str">
        <f t="shared" si="22"/>
        <v/>
      </c>
      <c r="G246" s="38"/>
      <c r="H246" s="38"/>
      <c r="I246" s="38"/>
      <c r="J246" s="36"/>
      <c r="K246" s="29"/>
      <c r="L246" s="29"/>
      <c r="M246" s="31"/>
      <c r="N246" s="40">
        <f t="shared" si="23"/>
        <v>0</v>
      </c>
      <c r="P246" s="4" t="str">
        <f t="shared" si="24"/>
        <v/>
      </c>
      <c r="Q246" s="4" t="str">
        <f t="shared" si="25"/>
        <v/>
      </c>
      <c r="R246" s="4" t="str">
        <f t="shared" si="26"/>
        <v>/</v>
      </c>
      <c r="S246" s="4" t="str">
        <f t="shared" si="27"/>
        <v/>
      </c>
    </row>
    <row r="247" spans="1:19" x14ac:dyDescent="0.35">
      <c r="A247" s="54"/>
      <c r="B247" s="57"/>
      <c r="C247" s="60"/>
      <c r="D247" s="66" t="str">
        <f t="shared" si="21"/>
        <v/>
      </c>
      <c r="E247" s="64" t="str">
        <f>IF(OR(C247="",A247=""),"",IF(A247&lt;'Page de garde'!$G$7,IF(VALUE(RIGHT(C247,2))&lt;50,66,86),INDEX(EC!$C$2:$C$677,MATCH(C247,EC,0))))</f>
        <v/>
      </c>
      <c r="F247" s="33" t="str">
        <f t="shared" si="22"/>
        <v/>
      </c>
      <c r="G247" s="38"/>
      <c r="H247" s="38"/>
      <c r="I247" s="38"/>
      <c r="J247" s="36"/>
      <c r="K247" s="29"/>
      <c r="L247" s="29"/>
      <c r="M247" s="31"/>
      <c r="N247" s="40">
        <f t="shared" si="23"/>
        <v>0</v>
      </c>
      <c r="P247" s="4" t="str">
        <f t="shared" si="24"/>
        <v/>
      </c>
      <c r="Q247" s="4" t="str">
        <f t="shared" si="25"/>
        <v/>
      </c>
      <c r="R247" s="4" t="str">
        <f t="shared" si="26"/>
        <v>/</v>
      </c>
      <c r="S247" s="4" t="str">
        <f t="shared" si="27"/>
        <v/>
      </c>
    </row>
    <row r="248" spans="1:19" x14ac:dyDescent="0.35">
      <c r="A248" s="54"/>
      <c r="B248" s="57"/>
      <c r="C248" s="60"/>
      <c r="D248" s="66" t="str">
        <f t="shared" si="21"/>
        <v/>
      </c>
      <c r="E248" s="64" t="str">
        <f>IF(OR(C248="",A248=""),"",IF(A248&lt;'Page de garde'!$G$7,IF(VALUE(RIGHT(C248,2))&lt;50,66,86),INDEX(EC!$C$2:$C$677,MATCH(C248,EC,0))))</f>
        <v/>
      </c>
      <c r="F248" s="33" t="str">
        <f t="shared" si="22"/>
        <v/>
      </c>
      <c r="G248" s="38"/>
      <c r="H248" s="38"/>
      <c r="I248" s="38"/>
      <c r="J248" s="36"/>
      <c r="K248" s="29"/>
      <c r="L248" s="29"/>
      <c r="M248" s="31"/>
      <c r="N248" s="40">
        <f t="shared" si="23"/>
        <v>0</v>
      </c>
      <c r="P248" s="4" t="str">
        <f t="shared" si="24"/>
        <v/>
      </c>
      <c r="Q248" s="4" t="str">
        <f t="shared" si="25"/>
        <v/>
      </c>
      <c r="R248" s="4" t="str">
        <f t="shared" si="26"/>
        <v>/</v>
      </c>
      <c r="S248" s="4" t="str">
        <f t="shared" si="27"/>
        <v/>
      </c>
    </row>
    <row r="249" spans="1:19" x14ac:dyDescent="0.35">
      <c r="A249" s="54"/>
      <c r="B249" s="57"/>
      <c r="C249" s="60"/>
      <c r="D249" s="66" t="str">
        <f t="shared" si="21"/>
        <v/>
      </c>
      <c r="E249" s="64" t="str">
        <f>IF(OR(C249="",A249=""),"",IF(A249&lt;'Page de garde'!$G$7,IF(VALUE(RIGHT(C249,2))&lt;50,66,86),INDEX(EC!$C$2:$C$677,MATCH(C249,EC,0))))</f>
        <v/>
      </c>
      <c r="F249" s="33" t="str">
        <f t="shared" si="22"/>
        <v/>
      </c>
      <c r="G249" s="38"/>
      <c r="H249" s="38"/>
      <c r="I249" s="38"/>
      <c r="J249" s="36"/>
      <c r="K249" s="29"/>
      <c r="L249" s="29"/>
      <c r="M249" s="31"/>
      <c r="N249" s="40">
        <f t="shared" si="23"/>
        <v>0</v>
      </c>
      <c r="P249" s="4" t="str">
        <f t="shared" si="24"/>
        <v/>
      </c>
      <c r="Q249" s="4" t="str">
        <f t="shared" si="25"/>
        <v/>
      </c>
      <c r="R249" s="4" t="str">
        <f t="shared" si="26"/>
        <v>/</v>
      </c>
      <c r="S249" s="4" t="str">
        <f t="shared" si="27"/>
        <v/>
      </c>
    </row>
    <row r="250" spans="1:19" x14ac:dyDescent="0.35">
      <c r="A250" s="54"/>
      <c r="B250" s="57"/>
      <c r="C250" s="60"/>
      <c r="D250" s="66" t="str">
        <f t="shared" si="21"/>
        <v/>
      </c>
      <c r="E250" s="64" t="str">
        <f>IF(OR(C250="",A250=""),"",IF(A250&lt;'Page de garde'!$G$7,IF(VALUE(RIGHT(C250,2))&lt;50,66,86),INDEX(EC!$C$2:$C$677,MATCH(C250,EC,0))))</f>
        <v/>
      </c>
      <c r="F250" s="33" t="str">
        <f t="shared" si="22"/>
        <v/>
      </c>
      <c r="G250" s="38"/>
      <c r="H250" s="38"/>
      <c r="I250" s="38"/>
      <c r="J250" s="36"/>
      <c r="K250" s="29"/>
      <c r="L250" s="29"/>
      <c r="M250" s="31"/>
      <c r="N250" s="40">
        <f t="shared" si="23"/>
        <v>0</v>
      </c>
      <c r="P250" s="4" t="str">
        <f t="shared" si="24"/>
        <v/>
      </c>
      <c r="Q250" s="4" t="str">
        <f t="shared" si="25"/>
        <v/>
      </c>
      <c r="R250" s="4" t="str">
        <f t="shared" si="26"/>
        <v>/</v>
      </c>
      <c r="S250" s="4" t="str">
        <f t="shared" si="27"/>
        <v/>
      </c>
    </row>
    <row r="251" spans="1:19" x14ac:dyDescent="0.35">
      <c r="A251" s="54"/>
      <c r="B251" s="57"/>
      <c r="C251" s="60"/>
      <c r="D251" s="66" t="str">
        <f t="shared" si="21"/>
        <v/>
      </c>
      <c r="E251" s="64" t="str">
        <f>IF(OR(C251="",A251=""),"",IF(A251&lt;'Page de garde'!$G$7,IF(VALUE(RIGHT(C251,2))&lt;50,66,86),INDEX(EC!$C$2:$C$677,MATCH(C251,EC,0))))</f>
        <v/>
      </c>
      <c r="F251" s="33" t="str">
        <f t="shared" si="22"/>
        <v/>
      </c>
      <c r="G251" s="38"/>
      <c r="H251" s="38"/>
      <c r="I251" s="38"/>
      <c r="J251" s="36"/>
      <c r="K251" s="29"/>
      <c r="L251" s="29"/>
      <c r="M251" s="31"/>
      <c r="N251" s="40">
        <f t="shared" si="23"/>
        <v>0</v>
      </c>
      <c r="P251" s="4" t="str">
        <f t="shared" si="24"/>
        <v/>
      </c>
      <c r="Q251" s="4" t="str">
        <f t="shared" si="25"/>
        <v/>
      </c>
      <c r="R251" s="4" t="str">
        <f t="shared" si="26"/>
        <v>/</v>
      </c>
      <c r="S251" s="4" t="str">
        <f t="shared" si="27"/>
        <v/>
      </c>
    </row>
    <row r="252" spans="1:19" x14ac:dyDescent="0.35">
      <c r="A252" s="54"/>
      <c r="B252" s="57"/>
      <c r="C252" s="60"/>
      <c r="D252" s="66" t="str">
        <f t="shared" si="21"/>
        <v/>
      </c>
      <c r="E252" s="64" t="str">
        <f>IF(OR(C252="",A252=""),"",IF(A252&lt;'Page de garde'!$G$7,IF(VALUE(RIGHT(C252,2))&lt;50,66,86),INDEX(EC!$C$2:$C$677,MATCH(C252,EC,0))))</f>
        <v/>
      </c>
      <c r="F252" s="33" t="str">
        <f t="shared" si="22"/>
        <v/>
      </c>
      <c r="G252" s="38"/>
      <c r="H252" s="38"/>
      <c r="I252" s="38"/>
      <c r="J252" s="36"/>
      <c r="K252" s="29"/>
      <c r="L252" s="29"/>
      <c r="M252" s="31"/>
      <c r="N252" s="40">
        <f t="shared" si="23"/>
        <v>0</v>
      </c>
      <c r="P252" s="4" t="str">
        <f t="shared" si="24"/>
        <v/>
      </c>
      <c r="Q252" s="4" t="str">
        <f t="shared" si="25"/>
        <v/>
      </c>
      <c r="R252" s="4" t="str">
        <f t="shared" si="26"/>
        <v>/</v>
      </c>
      <c r="S252" s="4" t="str">
        <f t="shared" si="27"/>
        <v/>
      </c>
    </row>
    <row r="253" spans="1:19" x14ac:dyDescent="0.35">
      <c r="A253" s="54"/>
      <c r="B253" s="57"/>
      <c r="C253" s="60"/>
      <c r="D253" s="66" t="str">
        <f t="shared" si="21"/>
        <v/>
      </c>
      <c r="E253" s="64" t="str">
        <f>IF(OR(C253="",A253=""),"",IF(A253&lt;'Page de garde'!$G$7,IF(VALUE(RIGHT(C253,2))&lt;50,66,86),INDEX(EC!$C$2:$C$677,MATCH(C253,EC,0))))</f>
        <v/>
      </c>
      <c r="F253" s="33" t="str">
        <f t="shared" si="22"/>
        <v/>
      </c>
      <c r="G253" s="38"/>
      <c r="H253" s="38"/>
      <c r="I253" s="38"/>
      <c r="J253" s="36"/>
      <c r="K253" s="29"/>
      <c r="L253" s="29"/>
      <c r="M253" s="31"/>
      <c r="N253" s="40">
        <f t="shared" si="23"/>
        <v>0</v>
      </c>
      <c r="P253" s="4" t="str">
        <f t="shared" si="24"/>
        <v/>
      </c>
      <c r="Q253" s="4" t="str">
        <f t="shared" si="25"/>
        <v/>
      </c>
      <c r="R253" s="4" t="str">
        <f t="shared" si="26"/>
        <v>/</v>
      </c>
      <c r="S253" s="4" t="str">
        <f t="shared" si="27"/>
        <v/>
      </c>
    </row>
    <row r="254" spans="1:19" x14ac:dyDescent="0.35">
      <c r="A254" s="54"/>
      <c r="B254" s="57"/>
      <c r="C254" s="60"/>
      <c r="D254" s="66" t="str">
        <f t="shared" si="21"/>
        <v/>
      </c>
      <c r="E254" s="64" t="str">
        <f>IF(OR(C254="",A254=""),"",IF(A254&lt;'Page de garde'!$G$7,IF(VALUE(RIGHT(C254,2))&lt;50,66,86),INDEX(EC!$C$2:$C$677,MATCH(C254,EC,0))))</f>
        <v/>
      </c>
      <c r="F254" s="33" t="str">
        <f t="shared" si="22"/>
        <v/>
      </c>
      <c r="G254" s="38"/>
      <c r="H254" s="38"/>
      <c r="I254" s="38"/>
      <c r="J254" s="36"/>
      <c r="K254" s="29"/>
      <c r="L254" s="29"/>
      <c r="M254" s="31"/>
      <c r="N254" s="40">
        <f t="shared" si="23"/>
        <v>0</v>
      </c>
      <c r="P254" s="4" t="str">
        <f t="shared" si="24"/>
        <v/>
      </c>
      <c r="Q254" s="4" t="str">
        <f t="shared" si="25"/>
        <v/>
      </c>
      <c r="R254" s="4" t="str">
        <f t="shared" si="26"/>
        <v>/</v>
      </c>
      <c r="S254" s="4" t="str">
        <f t="shared" si="27"/>
        <v/>
      </c>
    </row>
    <row r="255" spans="1:19" x14ac:dyDescent="0.35">
      <c r="A255" s="54"/>
      <c r="B255" s="57"/>
      <c r="C255" s="60"/>
      <c r="D255" s="66" t="str">
        <f t="shared" si="21"/>
        <v/>
      </c>
      <c r="E255" s="64" t="str">
        <f>IF(OR(C255="",A255=""),"",IF(A255&lt;'Page de garde'!$G$7,IF(VALUE(RIGHT(C255,2))&lt;50,66,86),INDEX(EC!$C$2:$C$677,MATCH(C255,EC,0))))</f>
        <v/>
      </c>
      <c r="F255" s="33" t="str">
        <f t="shared" si="22"/>
        <v/>
      </c>
      <c r="G255" s="38"/>
      <c r="H255" s="38"/>
      <c r="I255" s="38"/>
      <c r="J255" s="36"/>
      <c r="K255" s="29"/>
      <c r="L255" s="29"/>
      <c r="M255" s="31"/>
      <c r="N255" s="40">
        <f t="shared" si="23"/>
        <v>0</v>
      </c>
      <c r="P255" s="4" t="str">
        <f t="shared" si="24"/>
        <v/>
      </c>
      <c r="Q255" s="4" t="str">
        <f t="shared" si="25"/>
        <v/>
      </c>
      <c r="R255" s="4" t="str">
        <f t="shared" si="26"/>
        <v>/</v>
      </c>
      <c r="S255" s="4" t="str">
        <f t="shared" si="27"/>
        <v/>
      </c>
    </row>
    <row r="256" spans="1:19" x14ac:dyDescent="0.35">
      <c r="A256" s="54"/>
      <c r="B256" s="57"/>
      <c r="C256" s="60"/>
      <c r="D256" s="66" t="str">
        <f t="shared" si="21"/>
        <v/>
      </c>
      <c r="E256" s="64" t="str">
        <f>IF(OR(C256="",A256=""),"",IF(A256&lt;'Page de garde'!$G$7,IF(VALUE(RIGHT(C256,2))&lt;50,66,86),INDEX(EC!$C$2:$C$677,MATCH(C256,EC,0))))</f>
        <v/>
      </c>
      <c r="F256" s="33" t="str">
        <f t="shared" si="22"/>
        <v/>
      </c>
      <c r="G256" s="38"/>
      <c r="H256" s="38"/>
      <c r="I256" s="38"/>
      <c r="J256" s="36"/>
      <c r="K256" s="29"/>
      <c r="L256" s="29"/>
      <c r="M256" s="31"/>
      <c r="N256" s="40">
        <f t="shared" si="23"/>
        <v>0</v>
      </c>
      <c r="P256" s="4" t="str">
        <f t="shared" si="24"/>
        <v/>
      </c>
      <c r="Q256" s="4" t="str">
        <f t="shared" si="25"/>
        <v/>
      </c>
      <c r="R256" s="4" t="str">
        <f t="shared" si="26"/>
        <v>/</v>
      </c>
      <c r="S256" s="4" t="str">
        <f t="shared" si="27"/>
        <v/>
      </c>
    </row>
    <row r="257" spans="1:19" x14ac:dyDescent="0.35">
      <c r="A257" s="54"/>
      <c r="B257" s="57"/>
      <c r="C257" s="60"/>
      <c r="D257" s="66" t="str">
        <f t="shared" si="21"/>
        <v/>
      </c>
      <c r="E257" s="64" t="str">
        <f>IF(OR(C257="",A257=""),"",IF(A257&lt;'Page de garde'!$G$7,IF(VALUE(RIGHT(C257,2))&lt;50,66,86),INDEX(EC!$C$2:$C$677,MATCH(C257,EC,0))))</f>
        <v/>
      </c>
      <c r="F257" s="33" t="str">
        <f t="shared" si="22"/>
        <v/>
      </c>
      <c r="G257" s="38"/>
      <c r="H257" s="38"/>
      <c r="I257" s="38"/>
      <c r="J257" s="36"/>
      <c r="K257" s="29"/>
      <c r="L257" s="29"/>
      <c r="M257" s="31"/>
      <c r="N257" s="40">
        <f t="shared" si="23"/>
        <v>0</v>
      </c>
      <c r="P257" s="4" t="str">
        <f t="shared" si="24"/>
        <v/>
      </c>
      <c r="Q257" s="4" t="str">
        <f t="shared" si="25"/>
        <v/>
      </c>
      <c r="R257" s="4" t="str">
        <f t="shared" si="26"/>
        <v>/</v>
      </c>
      <c r="S257" s="4" t="str">
        <f t="shared" si="27"/>
        <v/>
      </c>
    </row>
    <row r="258" spans="1:19" x14ac:dyDescent="0.35">
      <c r="A258" s="54"/>
      <c r="B258" s="57"/>
      <c r="C258" s="60"/>
      <c r="D258" s="66" t="str">
        <f t="shared" si="21"/>
        <v/>
      </c>
      <c r="E258" s="64" t="str">
        <f>IF(OR(C258="",A258=""),"",IF(A258&lt;'Page de garde'!$G$7,IF(VALUE(RIGHT(C258,2))&lt;50,66,86),INDEX(EC!$C$2:$C$677,MATCH(C258,EC,0))))</f>
        <v/>
      </c>
      <c r="F258" s="33" t="str">
        <f t="shared" si="22"/>
        <v/>
      </c>
      <c r="G258" s="38"/>
      <c r="H258" s="38"/>
      <c r="I258" s="38"/>
      <c r="J258" s="36"/>
      <c r="K258" s="29"/>
      <c r="L258" s="29"/>
      <c r="M258" s="31"/>
      <c r="N258" s="40">
        <f t="shared" si="23"/>
        <v>0</v>
      </c>
      <c r="P258" s="4" t="str">
        <f t="shared" si="24"/>
        <v/>
      </c>
      <c r="Q258" s="4" t="str">
        <f t="shared" si="25"/>
        <v/>
      </c>
      <c r="R258" s="4" t="str">
        <f t="shared" si="26"/>
        <v>/</v>
      </c>
      <c r="S258" s="4" t="str">
        <f t="shared" si="27"/>
        <v/>
      </c>
    </row>
    <row r="259" spans="1:19" x14ac:dyDescent="0.35">
      <c r="A259" s="54"/>
      <c r="B259" s="57"/>
      <c r="C259" s="60"/>
      <c r="D259" s="66" t="str">
        <f t="shared" si="21"/>
        <v/>
      </c>
      <c r="E259" s="64" t="str">
        <f>IF(OR(C259="",A259=""),"",IF(A259&lt;'Page de garde'!$G$7,IF(VALUE(RIGHT(C259,2))&lt;50,66,86),INDEX(EC!$C$2:$C$677,MATCH(C259,EC,0))))</f>
        <v/>
      </c>
      <c r="F259" s="33" t="str">
        <f t="shared" si="22"/>
        <v/>
      </c>
      <c r="G259" s="38"/>
      <c r="H259" s="38"/>
      <c r="I259" s="38"/>
      <c r="J259" s="36"/>
      <c r="K259" s="29"/>
      <c r="L259" s="29"/>
      <c r="M259" s="31"/>
      <c r="N259" s="40">
        <f t="shared" si="23"/>
        <v>0</v>
      </c>
      <c r="P259" s="4" t="str">
        <f t="shared" si="24"/>
        <v/>
      </c>
      <c r="Q259" s="4" t="str">
        <f t="shared" si="25"/>
        <v/>
      </c>
      <c r="R259" s="4" t="str">
        <f t="shared" si="26"/>
        <v>/</v>
      </c>
      <c r="S259" s="4" t="str">
        <f t="shared" si="27"/>
        <v/>
      </c>
    </row>
    <row r="260" spans="1:19" x14ac:dyDescent="0.35">
      <c r="A260" s="54"/>
      <c r="B260" s="57"/>
      <c r="C260" s="60"/>
      <c r="D260" s="66" t="str">
        <f t="shared" si="21"/>
        <v/>
      </c>
      <c r="E260" s="64" t="str">
        <f>IF(OR(C260="",A260=""),"",IF(A260&lt;'Page de garde'!$G$7,IF(VALUE(RIGHT(C260,2))&lt;50,66,86),INDEX(EC!$C$2:$C$677,MATCH(C260,EC,0))))</f>
        <v/>
      </c>
      <c r="F260" s="33" t="str">
        <f t="shared" si="22"/>
        <v/>
      </c>
      <c r="G260" s="38"/>
      <c r="H260" s="38"/>
      <c r="I260" s="38"/>
      <c r="J260" s="36"/>
      <c r="K260" s="29"/>
      <c r="L260" s="29"/>
      <c r="M260" s="31"/>
      <c r="N260" s="40">
        <f t="shared" si="23"/>
        <v>0</v>
      </c>
      <c r="P260" s="4" t="str">
        <f t="shared" si="24"/>
        <v/>
      </c>
      <c r="Q260" s="4" t="str">
        <f t="shared" si="25"/>
        <v/>
      </c>
      <c r="R260" s="4" t="str">
        <f t="shared" si="26"/>
        <v>/</v>
      </c>
      <c r="S260" s="4" t="str">
        <f t="shared" si="27"/>
        <v/>
      </c>
    </row>
    <row r="261" spans="1:19" x14ac:dyDescent="0.35">
      <c r="A261" s="54"/>
      <c r="B261" s="57"/>
      <c r="C261" s="60"/>
      <c r="D261" s="66" t="str">
        <f t="shared" ref="D261:D324" si="28">IF(OR(B261="",C261=""),"",CONCATENATE(B261,"/",LEFT(C261,3),"-",RIGHT(C261,2)))</f>
        <v/>
      </c>
      <c r="E261" s="64" t="str">
        <f>IF(OR(C261="",A261=""),"",IF(A261&lt;'Page de garde'!$G$7,IF(VALUE(RIGHT(C261,2))&lt;50,66,86),INDEX(EC!$C$2:$C$677,MATCH(C261,EC,0))))</f>
        <v/>
      </c>
      <c r="F261" s="33" t="str">
        <f t="shared" ref="F261:F324" si="29">IF(C261="","",INDEX(OmEC,MATCH(C261,EC,0)))</f>
        <v/>
      </c>
      <c r="G261" s="38"/>
      <c r="H261" s="38"/>
      <c r="I261" s="38"/>
      <c r="J261" s="36"/>
      <c r="K261" s="29"/>
      <c r="L261" s="29"/>
      <c r="M261" s="31"/>
      <c r="N261" s="40">
        <f t="shared" ref="N261:N324" si="30">SUM(I261:M261)</f>
        <v>0</v>
      </c>
      <c r="P261" s="4" t="str">
        <f t="shared" ref="P261:P324" si="31">LEFT(C261,3)</f>
        <v/>
      </c>
      <c r="Q261" s="4" t="str">
        <f t="shared" si="25"/>
        <v/>
      </c>
      <c r="R261" s="4" t="str">
        <f t="shared" si="26"/>
        <v>/</v>
      </c>
      <c r="S261" s="4" t="str">
        <f t="shared" si="27"/>
        <v/>
      </c>
    </row>
    <row r="262" spans="1:19" x14ac:dyDescent="0.35">
      <c r="A262" s="54"/>
      <c r="B262" s="57"/>
      <c r="C262" s="60"/>
      <c r="D262" s="66" t="str">
        <f t="shared" si="28"/>
        <v/>
      </c>
      <c r="E262" s="64" t="str">
        <f>IF(OR(C262="",A262=""),"",IF(A262&lt;'Page de garde'!$G$7,IF(VALUE(RIGHT(C262,2))&lt;50,66,86),INDEX(EC!$C$2:$C$677,MATCH(C262,EC,0))))</f>
        <v/>
      </c>
      <c r="F262" s="33" t="str">
        <f t="shared" si="29"/>
        <v/>
      </c>
      <c r="G262" s="38"/>
      <c r="H262" s="38"/>
      <c r="I262" s="38"/>
      <c r="J262" s="36"/>
      <c r="K262" s="29"/>
      <c r="L262" s="29"/>
      <c r="M262" s="31"/>
      <c r="N262" s="40">
        <f t="shared" si="30"/>
        <v>0</v>
      </c>
      <c r="P262" s="4" t="str">
        <f t="shared" si="31"/>
        <v/>
      </c>
      <c r="Q262" s="4" t="str">
        <f t="shared" ref="Q262:Q325" si="32">IF(C262="","",IF(VALUE(RIGHT(C262,2))&lt;50,"G","B"))</f>
        <v/>
      </c>
      <c r="R262" s="4" t="str">
        <f t="shared" ref="R262:R325" si="33">CONCATENATE(D262,"/",A262)</f>
        <v>/</v>
      </c>
      <c r="S262" s="4" t="str">
        <f t="shared" ref="S262:S325" si="34">IF(B262="","",LEFT(B262,3))</f>
        <v/>
      </c>
    </row>
    <row r="263" spans="1:19" x14ac:dyDescent="0.35">
      <c r="A263" s="54"/>
      <c r="B263" s="57"/>
      <c r="C263" s="60"/>
      <c r="D263" s="66" t="str">
        <f t="shared" si="28"/>
        <v/>
      </c>
      <c r="E263" s="64" t="str">
        <f>IF(OR(C263="",A263=""),"",IF(A263&lt;'Page de garde'!$G$7,IF(VALUE(RIGHT(C263,2))&lt;50,66,86),INDEX(EC!$C$2:$C$677,MATCH(C263,EC,0))))</f>
        <v/>
      </c>
      <c r="F263" s="33" t="str">
        <f t="shared" si="29"/>
        <v/>
      </c>
      <c r="G263" s="38"/>
      <c r="H263" s="38"/>
      <c r="I263" s="38"/>
      <c r="J263" s="36"/>
      <c r="K263" s="29"/>
      <c r="L263" s="29"/>
      <c r="M263" s="31"/>
      <c r="N263" s="40">
        <f t="shared" si="30"/>
        <v>0</v>
      </c>
      <c r="P263" s="4" t="str">
        <f t="shared" si="31"/>
        <v/>
      </c>
      <c r="Q263" s="4" t="str">
        <f t="shared" si="32"/>
        <v/>
      </c>
      <c r="R263" s="4" t="str">
        <f t="shared" si="33"/>
        <v>/</v>
      </c>
      <c r="S263" s="4" t="str">
        <f t="shared" si="34"/>
        <v/>
      </c>
    </row>
    <row r="264" spans="1:19" x14ac:dyDescent="0.35">
      <c r="A264" s="54"/>
      <c r="B264" s="57"/>
      <c r="C264" s="60"/>
      <c r="D264" s="66" t="str">
        <f t="shared" si="28"/>
        <v/>
      </c>
      <c r="E264" s="64" t="str">
        <f>IF(OR(C264="",A264=""),"",IF(A264&lt;'Page de garde'!$G$7,IF(VALUE(RIGHT(C264,2))&lt;50,66,86),INDEX(EC!$C$2:$C$677,MATCH(C264,EC,0))))</f>
        <v/>
      </c>
      <c r="F264" s="33" t="str">
        <f t="shared" si="29"/>
        <v/>
      </c>
      <c r="G264" s="38"/>
      <c r="H264" s="38"/>
      <c r="I264" s="38"/>
      <c r="J264" s="36"/>
      <c r="K264" s="29"/>
      <c r="L264" s="29"/>
      <c r="M264" s="31"/>
      <c r="N264" s="40">
        <f t="shared" si="30"/>
        <v>0</v>
      </c>
      <c r="P264" s="4" t="str">
        <f t="shared" si="31"/>
        <v/>
      </c>
      <c r="Q264" s="4" t="str">
        <f t="shared" si="32"/>
        <v/>
      </c>
      <c r="R264" s="4" t="str">
        <f t="shared" si="33"/>
        <v>/</v>
      </c>
      <c r="S264" s="4" t="str">
        <f t="shared" si="34"/>
        <v/>
      </c>
    </row>
    <row r="265" spans="1:19" x14ac:dyDescent="0.35">
      <c r="A265" s="54"/>
      <c r="B265" s="57"/>
      <c r="C265" s="60"/>
      <c r="D265" s="66" t="str">
        <f t="shared" si="28"/>
        <v/>
      </c>
      <c r="E265" s="64" t="str">
        <f>IF(OR(C265="",A265=""),"",IF(A265&lt;'Page de garde'!$G$7,IF(VALUE(RIGHT(C265,2))&lt;50,66,86),INDEX(EC!$C$2:$C$677,MATCH(C265,EC,0))))</f>
        <v/>
      </c>
      <c r="F265" s="33" t="str">
        <f t="shared" si="29"/>
        <v/>
      </c>
      <c r="G265" s="38"/>
      <c r="H265" s="38"/>
      <c r="I265" s="38"/>
      <c r="J265" s="36"/>
      <c r="K265" s="29"/>
      <c r="L265" s="29"/>
      <c r="M265" s="31"/>
      <c r="N265" s="40">
        <f t="shared" si="30"/>
        <v>0</v>
      </c>
      <c r="P265" s="4" t="str">
        <f t="shared" si="31"/>
        <v/>
      </c>
      <c r="Q265" s="4" t="str">
        <f t="shared" si="32"/>
        <v/>
      </c>
      <c r="R265" s="4" t="str">
        <f t="shared" si="33"/>
        <v>/</v>
      </c>
      <c r="S265" s="4" t="str">
        <f t="shared" si="34"/>
        <v/>
      </c>
    </row>
    <row r="266" spans="1:19" x14ac:dyDescent="0.35">
      <c r="A266" s="54"/>
      <c r="B266" s="57"/>
      <c r="C266" s="60"/>
      <c r="D266" s="66" t="str">
        <f t="shared" si="28"/>
        <v/>
      </c>
      <c r="E266" s="64" t="str">
        <f>IF(OR(C266="",A266=""),"",IF(A266&lt;'Page de garde'!$G$7,IF(VALUE(RIGHT(C266,2))&lt;50,66,86),INDEX(EC!$C$2:$C$677,MATCH(C266,EC,0))))</f>
        <v/>
      </c>
      <c r="F266" s="33" t="str">
        <f t="shared" si="29"/>
        <v/>
      </c>
      <c r="G266" s="38"/>
      <c r="H266" s="38"/>
      <c r="I266" s="38"/>
      <c r="J266" s="36"/>
      <c r="K266" s="29"/>
      <c r="L266" s="29"/>
      <c r="M266" s="31"/>
      <c r="N266" s="40">
        <f t="shared" si="30"/>
        <v>0</v>
      </c>
      <c r="P266" s="4" t="str">
        <f t="shared" si="31"/>
        <v/>
      </c>
      <c r="Q266" s="4" t="str">
        <f t="shared" si="32"/>
        <v/>
      </c>
      <c r="R266" s="4" t="str">
        <f t="shared" si="33"/>
        <v>/</v>
      </c>
      <c r="S266" s="4" t="str">
        <f t="shared" si="34"/>
        <v/>
      </c>
    </row>
    <row r="267" spans="1:19" x14ac:dyDescent="0.35">
      <c r="A267" s="54"/>
      <c r="B267" s="57"/>
      <c r="C267" s="60"/>
      <c r="D267" s="66" t="str">
        <f t="shared" si="28"/>
        <v/>
      </c>
      <c r="E267" s="64" t="str">
        <f>IF(OR(C267="",A267=""),"",IF(A267&lt;'Page de garde'!$G$7,IF(VALUE(RIGHT(C267,2))&lt;50,66,86),INDEX(EC!$C$2:$C$677,MATCH(C267,EC,0))))</f>
        <v/>
      </c>
      <c r="F267" s="33" t="str">
        <f t="shared" si="29"/>
        <v/>
      </c>
      <c r="G267" s="38"/>
      <c r="H267" s="38"/>
      <c r="I267" s="38"/>
      <c r="J267" s="36"/>
      <c r="K267" s="29"/>
      <c r="L267" s="29"/>
      <c r="M267" s="31"/>
      <c r="N267" s="40">
        <f t="shared" si="30"/>
        <v>0</v>
      </c>
      <c r="P267" s="4" t="str">
        <f t="shared" si="31"/>
        <v/>
      </c>
      <c r="Q267" s="4" t="str">
        <f t="shared" si="32"/>
        <v/>
      </c>
      <c r="R267" s="4" t="str">
        <f t="shared" si="33"/>
        <v>/</v>
      </c>
      <c r="S267" s="4" t="str">
        <f t="shared" si="34"/>
        <v/>
      </c>
    </row>
    <row r="268" spans="1:19" x14ac:dyDescent="0.35">
      <c r="A268" s="54"/>
      <c r="B268" s="57"/>
      <c r="C268" s="60"/>
      <c r="D268" s="66" t="str">
        <f t="shared" si="28"/>
        <v/>
      </c>
      <c r="E268" s="64" t="str">
        <f>IF(OR(C268="",A268=""),"",IF(A268&lt;'Page de garde'!$G$7,IF(VALUE(RIGHT(C268,2))&lt;50,66,86),INDEX(EC!$C$2:$C$677,MATCH(C268,EC,0))))</f>
        <v/>
      </c>
      <c r="F268" s="33" t="str">
        <f t="shared" si="29"/>
        <v/>
      </c>
      <c r="G268" s="38"/>
      <c r="H268" s="38"/>
      <c r="I268" s="38"/>
      <c r="J268" s="36"/>
      <c r="K268" s="29"/>
      <c r="L268" s="29"/>
      <c r="M268" s="31"/>
      <c r="N268" s="40">
        <f t="shared" si="30"/>
        <v>0</v>
      </c>
      <c r="P268" s="4" t="str">
        <f t="shared" si="31"/>
        <v/>
      </c>
      <c r="Q268" s="4" t="str">
        <f t="shared" si="32"/>
        <v/>
      </c>
      <c r="R268" s="4" t="str">
        <f t="shared" si="33"/>
        <v>/</v>
      </c>
      <c r="S268" s="4" t="str">
        <f t="shared" si="34"/>
        <v/>
      </c>
    </row>
    <row r="269" spans="1:19" x14ac:dyDescent="0.35">
      <c r="A269" s="54"/>
      <c r="B269" s="57"/>
      <c r="C269" s="60"/>
      <c r="D269" s="66" t="str">
        <f t="shared" si="28"/>
        <v/>
      </c>
      <c r="E269" s="64" t="str">
        <f>IF(OR(C269="",A269=""),"",IF(A269&lt;'Page de garde'!$G$7,IF(VALUE(RIGHT(C269,2))&lt;50,66,86),INDEX(EC!$C$2:$C$677,MATCH(C269,EC,0))))</f>
        <v/>
      </c>
      <c r="F269" s="33" t="str">
        <f t="shared" si="29"/>
        <v/>
      </c>
      <c r="G269" s="38"/>
      <c r="H269" s="38"/>
      <c r="I269" s="38"/>
      <c r="J269" s="36"/>
      <c r="K269" s="29"/>
      <c r="L269" s="29"/>
      <c r="M269" s="31"/>
      <c r="N269" s="40">
        <f t="shared" si="30"/>
        <v>0</v>
      </c>
      <c r="P269" s="4" t="str">
        <f t="shared" si="31"/>
        <v/>
      </c>
      <c r="Q269" s="4" t="str">
        <f t="shared" si="32"/>
        <v/>
      </c>
      <c r="R269" s="4" t="str">
        <f t="shared" si="33"/>
        <v>/</v>
      </c>
      <c r="S269" s="4" t="str">
        <f t="shared" si="34"/>
        <v/>
      </c>
    </row>
    <row r="270" spans="1:19" x14ac:dyDescent="0.35">
      <c r="A270" s="54"/>
      <c r="B270" s="57"/>
      <c r="C270" s="60"/>
      <c r="D270" s="66" t="str">
        <f t="shared" si="28"/>
        <v/>
      </c>
      <c r="E270" s="64" t="str">
        <f>IF(OR(C270="",A270=""),"",IF(A270&lt;'Page de garde'!$G$7,IF(VALUE(RIGHT(C270,2))&lt;50,66,86),INDEX(EC!$C$2:$C$677,MATCH(C270,EC,0))))</f>
        <v/>
      </c>
      <c r="F270" s="33" t="str">
        <f t="shared" si="29"/>
        <v/>
      </c>
      <c r="G270" s="38"/>
      <c r="H270" s="38"/>
      <c r="I270" s="38"/>
      <c r="J270" s="36"/>
      <c r="K270" s="29"/>
      <c r="L270" s="29"/>
      <c r="M270" s="31"/>
      <c r="N270" s="40">
        <f t="shared" si="30"/>
        <v>0</v>
      </c>
      <c r="P270" s="4" t="str">
        <f t="shared" si="31"/>
        <v/>
      </c>
      <c r="Q270" s="4" t="str">
        <f t="shared" si="32"/>
        <v/>
      </c>
      <c r="R270" s="4" t="str">
        <f t="shared" si="33"/>
        <v>/</v>
      </c>
      <c r="S270" s="4" t="str">
        <f t="shared" si="34"/>
        <v/>
      </c>
    </row>
    <row r="271" spans="1:19" x14ac:dyDescent="0.35">
      <c r="A271" s="54"/>
      <c r="B271" s="57"/>
      <c r="C271" s="60"/>
      <c r="D271" s="66" t="str">
        <f t="shared" si="28"/>
        <v/>
      </c>
      <c r="E271" s="64" t="str">
        <f>IF(OR(C271="",A271=""),"",IF(A271&lt;'Page de garde'!$G$7,IF(VALUE(RIGHT(C271,2))&lt;50,66,86),INDEX(EC!$C$2:$C$677,MATCH(C271,EC,0))))</f>
        <v/>
      </c>
      <c r="F271" s="33" t="str">
        <f t="shared" si="29"/>
        <v/>
      </c>
      <c r="G271" s="38"/>
      <c r="H271" s="38"/>
      <c r="I271" s="38"/>
      <c r="J271" s="36"/>
      <c r="K271" s="29"/>
      <c r="L271" s="29"/>
      <c r="M271" s="31"/>
      <c r="N271" s="40">
        <f t="shared" si="30"/>
        <v>0</v>
      </c>
      <c r="P271" s="4" t="str">
        <f t="shared" si="31"/>
        <v/>
      </c>
      <c r="Q271" s="4" t="str">
        <f t="shared" si="32"/>
        <v/>
      </c>
      <c r="R271" s="4" t="str">
        <f t="shared" si="33"/>
        <v>/</v>
      </c>
      <c r="S271" s="4" t="str">
        <f t="shared" si="34"/>
        <v/>
      </c>
    </row>
    <row r="272" spans="1:19" x14ac:dyDescent="0.35">
      <c r="A272" s="54"/>
      <c r="B272" s="57"/>
      <c r="C272" s="60"/>
      <c r="D272" s="66" t="str">
        <f t="shared" si="28"/>
        <v/>
      </c>
      <c r="E272" s="64" t="str">
        <f>IF(OR(C272="",A272=""),"",IF(A272&lt;'Page de garde'!$G$7,IF(VALUE(RIGHT(C272,2))&lt;50,66,86),INDEX(EC!$C$2:$C$677,MATCH(C272,EC,0))))</f>
        <v/>
      </c>
      <c r="F272" s="33" t="str">
        <f t="shared" si="29"/>
        <v/>
      </c>
      <c r="G272" s="38"/>
      <c r="H272" s="38"/>
      <c r="I272" s="38"/>
      <c r="J272" s="36"/>
      <c r="K272" s="29"/>
      <c r="L272" s="29"/>
      <c r="M272" s="31"/>
      <c r="N272" s="40">
        <f t="shared" si="30"/>
        <v>0</v>
      </c>
      <c r="P272" s="4" t="str">
        <f t="shared" si="31"/>
        <v/>
      </c>
      <c r="Q272" s="4" t="str">
        <f t="shared" si="32"/>
        <v/>
      </c>
      <c r="R272" s="4" t="str">
        <f t="shared" si="33"/>
        <v>/</v>
      </c>
      <c r="S272" s="4" t="str">
        <f t="shared" si="34"/>
        <v/>
      </c>
    </row>
    <row r="273" spans="1:19" x14ac:dyDescent="0.35">
      <c r="A273" s="54"/>
      <c r="B273" s="57"/>
      <c r="C273" s="60"/>
      <c r="D273" s="66" t="str">
        <f t="shared" si="28"/>
        <v/>
      </c>
      <c r="E273" s="64" t="str">
        <f>IF(OR(C273="",A273=""),"",IF(A273&lt;'Page de garde'!$G$7,IF(VALUE(RIGHT(C273,2))&lt;50,66,86),INDEX(EC!$C$2:$C$677,MATCH(C273,EC,0))))</f>
        <v/>
      </c>
      <c r="F273" s="33" t="str">
        <f t="shared" si="29"/>
        <v/>
      </c>
      <c r="G273" s="38"/>
      <c r="H273" s="38"/>
      <c r="I273" s="38"/>
      <c r="J273" s="36"/>
      <c r="K273" s="29"/>
      <c r="L273" s="29"/>
      <c r="M273" s="31"/>
      <c r="N273" s="40">
        <f t="shared" si="30"/>
        <v>0</v>
      </c>
      <c r="P273" s="4" t="str">
        <f t="shared" si="31"/>
        <v/>
      </c>
      <c r="Q273" s="4" t="str">
        <f t="shared" si="32"/>
        <v/>
      </c>
      <c r="R273" s="4" t="str">
        <f t="shared" si="33"/>
        <v>/</v>
      </c>
      <c r="S273" s="4" t="str">
        <f t="shared" si="34"/>
        <v/>
      </c>
    </row>
    <row r="274" spans="1:19" x14ac:dyDescent="0.35">
      <c r="A274" s="54"/>
      <c r="B274" s="57"/>
      <c r="C274" s="60"/>
      <c r="D274" s="66" t="str">
        <f t="shared" si="28"/>
        <v/>
      </c>
      <c r="E274" s="64" t="str">
        <f>IF(OR(C274="",A274=""),"",IF(A274&lt;'Page de garde'!$G$7,IF(VALUE(RIGHT(C274,2))&lt;50,66,86),INDEX(EC!$C$2:$C$677,MATCH(C274,EC,0))))</f>
        <v/>
      </c>
      <c r="F274" s="33" t="str">
        <f t="shared" si="29"/>
        <v/>
      </c>
      <c r="G274" s="38"/>
      <c r="H274" s="38"/>
      <c r="I274" s="38"/>
      <c r="J274" s="36"/>
      <c r="K274" s="29"/>
      <c r="L274" s="29"/>
      <c r="M274" s="31"/>
      <c r="N274" s="40">
        <f t="shared" si="30"/>
        <v>0</v>
      </c>
      <c r="P274" s="4" t="str">
        <f t="shared" si="31"/>
        <v/>
      </c>
      <c r="Q274" s="4" t="str">
        <f t="shared" si="32"/>
        <v/>
      </c>
      <c r="R274" s="4" t="str">
        <f t="shared" si="33"/>
        <v>/</v>
      </c>
      <c r="S274" s="4" t="str">
        <f t="shared" si="34"/>
        <v/>
      </c>
    </row>
    <row r="275" spans="1:19" x14ac:dyDescent="0.35">
      <c r="A275" s="54"/>
      <c r="B275" s="57"/>
      <c r="C275" s="60"/>
      <c r="D275" s="66" t="str">
        <f t="shared" si="28"/>
        <v/>
      </c>
      <c r="E275" s="64" t="str">
        <f>IF(OR(C275="",A275=""),"",IF(A275&lt;'Page de garde'!$G$7,IF(VALUE(RIGHT(C275,2))&lt;50,66,86),INDEX(EC!$C$2:$C$677,MATCH(C275,EC,0))))</f>
        <v/>
      </c>
      <c r="F275" s="33" t="str">
        <f t="shared" si="29"/>
        <v/>
      </c>
      <c r="G275" s="38"/>
      <c r="H275" s="38"/>
      <c r="I275" s="38"/>
      <c r="J275" s="36"/>
      <c r="K275" s="29"/>
      <c r="L275" s="29"/>
      <c r="M275" s="31"/>
      <c r="N275" s="40">
        <f t="shared" si="30"/>
        <v>0</v>
      </c>
      <c r="P275" s="4" t="str">
        <f t="shared" si="31"/>
        <v/>
      </c>
      <c r="Q275" s="4" t="str">
        <f t="shared" si="32"/>
        <v/>
      </c>
      <c r="R275" s="4" t="str">
        <f t="shared" si="33"/>
        <v>/</v>
      </c>
      <c r="S275" s="4" t="str">
        <f t="shared" si="34"/>
        <v/>
      </c>
    </row>
    <row r="276" spans="1:19" x14ac:dyDescent="0.35">
      <c r="A276" s="54"/>
      <c r="B276" s="57"/>
      <c r="C276" s="60"/>
      <c r="D276" s="66" t="str">
        <f t="shared" si="28"/>
        <v/>
      </c>
      <c r="E276" s="64" t="str">
        <f>IF(OR(C276="",A276=""),"",IF(A276&lt;'Page de garde'!$G$7,IF(VALUE(RIGHT(C276,2))&lt;50,66,86),INDEX(EC!$C$2:$C$677,MATCH(C276,EC,0))))</f>
        <v/>
      </c>
      <c r="F276" s="33" t="str">
        <f t="shared" si="29"/>
        <v/>
      </c>
      <c r="G276" s="38"/>
      <c r="H276" s="38"/>
      <c r="I276" s="38"/>
      <c r="J276" s="36"/>
      <c r="K276" s="29"/>
      <c r="L276" s="29"/>
      <c r="M276" s="31"/>
      <c r="N276" s="40">
        <f t="shared" si="30"/>
        <v>0</v>
      </c>
      <c r="P276" s="4" t="str">
        <f t="shared" si="31"/>
        <v/>
      </c>
      <c r="Q276" s="4" t="str">
        <f t="shared" si="32"/>
        <v/>
      </c>
      <c r="R276" s="4" t="str">
        <f t="shared" si="33"/>
        <v>/</v>
      </c>
      <c r="S276" s="4" t="str">
        <f t="shared" si="34"/>
        <v/>
      </c>
    </row>
    <row r="277" spans="1:19" x14ac:dyDescent="0.35">
      <c r="A277" s="54"/>
      <c r="B277" s="57"/>
      <c r="C277" s="60"/>
      <c r="D277" s="66" t="str">
        <f t="shared" si="28"/>
        <v/>
      </c>
      <c r="E277" s="64" t="str">
        <f>IF(OR(C277="",A277=""),"",IF(A277&lt;'Page de garde'!$G$7,IF(VALUE(RIGHT(C277,2))&lt;50,66,86),INDEX(EC!$C$2:$C$677,MATCH(C277,EC,0))))</f>
        <v/>
      </c>
      <c r="F277" s="33" t="str">
        <f t="shared" si="29"/>
        <v/>
      </c>
      <c r="G277" s="38"/>
      <c r="H277" s="38"/>
      <c r="I277" s="38"/>
      <c r="J277" s="36"/>
      <c r="K277" s="29"/>
      <c r="L277" s="29"/>
      <c r="M277" s="31"/>
      <c r="N277" s="40">
        <f t="shared" si="30"/>
        <v>0</v>
      </c>
      <c r="P277" s="4" t="str">
        <f t="shared" si="31"/>
        <v/>
      </c>
      <c r="Q277" s="4" t="str">
        <f t="shared" si="32"/>
        <v/>
      </c>
      <c r="R277" s="4" t="str">
        <f t="shared" si="33"/>
        <v>/</v>
      </c>
      <c r="S277" s="4" t="str">
        <f t="shared" si="34"/>
        <v/>
      </c>
    </row>
    <row r="278" spans="1:19" x14ac:dyDescent="0.35">
      <c r="A278" s="54"/>
      <c r="B278" s="57"/>
      <c r="C278" s="60"/>
      <c r="D278" s="66" t="str">
        <f t="shared" si="28"/>
        <v/>
      </c>
      <c r="E278" s="64" t="str">
        <f>IF(OR(C278="",A278=""),"",IF(A278&lt;'Page de garde'!$G$7,IF(VALUE(RIGHT(C278,2))&lt;50,66,86),INDEX(EC!$C$2:$C$677,MATCH(C278,EC,0))))</f>
        <v/>
      </c>
      <c r="F278" s="33" t="str">
        <f t="shared" si="29"/>
        <v/>
      </c>
      <c r="G278" s="38"/>
      <c r="H278" s="38"/>
      <c r="I278" s="38"/>
      <c r="J278" s="36"/>
      <c r="K278" s="29"/>
      <c r="L278" s="29"/>
      <c r="M278" s="31"/>
      <c r="N278" s="40">
        <f t="shared" si="30"/>
        <v>0</v>
      </c>
      <c r="P278" s="4" t="str">
        <f t="shared" si="31"/>
        <v/>
      </c>
      <c r="Q278" s="4" t="str">
        <f t="shared" si="32"/>
        <v/>
      </c>
      <c r="R278" s="4" t="str">
        <f t="shared" si="33"/>
        <v>/</v>
      </c>
      <c r="S278" s="4" t="str">
        <f t="shared" si="34"/>
        <v/>
      </c>
    </row>
    <row r="279" spans="1:19" x14ac:dyDescent="0.35">
      <c r="A279" s="54"/>
      <c r="B279" s="57"/>
      <c r="C279" s="60"/>
      <c r="D279" s="66" t="str">
        <f t="shared" si="28"/>
        <v/>
      </c>
      <c r="E279" s="64" t="str">
        <f>IF(OR(C279="",A279=""),"",IF(A279&lt;'Page de garde'!$G$7,IF(VALUE(RIGHT(C279,2))&lt;50,66,86),INDEX(EC!$C$2:$C$677,MATCH(C279,EC,0))))</f>
        <v/>
      </c>
      <c r="F279" s="33" t="str">
        <f t="shared" si="29"/>
        <v/>
      </c>
      <c r="G279" s="38"/>
      <c r="H279" s="38"/>
      <c r="I279" s="38"/>
      <c r="J279" s="36"/>
      <c r="K279" s="29"/>
      <c r="L279" s="29"/>
      <c r="M279" s="31"/>
      <c r="N279" s="40">
        <f t="shared" si="30"/>
        <v>0</v>
      </c>
      <c r="P279" s="4" t="str">
        <f t="shared" si="31"/>
        <v/>
      </c>
      <c r="Q279" s="4" t="str">
        <f t="shared" si="32"/>
        <v/>
      </c>
      <c r="R279" s="4" t="str">
        <f t="shared" si="33"/>
        <v>/</v>
      </c>
      <c r="S279" s="4" t="str">
        <f t="shared" si="34"/>
        <v/>
      </c>
    </row>
    <row r="280" spans="1:19" x14ac:dyDescent="0.35">
      <c r="A280" s="54"/>
      <c r="B280" s="57"/>
      <c r="C280" s="60"/>
      <c r="D280" s="66" t="str">
        <f t="shared" si="28"/>
        <v/>
      </c>
      <c r="E280" s="64" t="str">
        <f>IF(OR(C280="",A280=""),"",IF(A280&lt;'Page de garde'!$G$7,IF(VALUE(RIGHT(C280,2))&lt;50,66,86),INDEX(EC!$C$2:$C$677,MATCH(C280,EC,0))))</f>
        <v/>
      </c>
      <c r="F280" s="33" t="str">
        <f t="shared" si="29"/>
        <v/>
      </c>
      <c r="G280" s="38"/>
      <c r="H280" s="38"/>
      <c r="I280" s="38"/>
      <c r="J280" s="36"/>
      <c r="K280" s="29"/>
      <c r="L280" s="29"/>
      <c r="M280" s="31"/>
      <c r="N280" s="40">
        <f t="shared" si="30"/>
        <v>0</v>
      </c>
      <c r="P280" s="4" t="str">
        <f t="shared" si="31"/>
        <v/>
      </c>
      <c r="Q280" s="4" t="str">
        <f t="shared" si="32"/>
        <v/>
      </c>
      <c r="R280" s="4" t="str">
        <f t="shared" si="33"/>
        <v>/</v>
      </c>
      <c r="S280" s="4" t="str">
        <f t="shared" si="34"/>
        <v/>
      </c>
    </row>
    <row r="281" spans="1:19" x14ac:dyDescent="0.35">
      <c r="A281" s="54"/>
      <c r="B281" s="57"/>
      <c r="C281" s="60"/>
      <c r="D281" s="66" t="str">
        <f t="shared" si="28"/>
        <v/>
      </c>
      <c r="E281" s="64" t="str">
        <f>IF(OR(C281="",A281=""),"",IF(A281&lt;'Page de garde'!$G$7,IF(VALUE(RIGHT(C281,2))&lt;50,66,86),INDEX(EC!$C$2:$C$677,MATCH(C281,EC,0))))</f>
        <v/>
      </c>
      <c r="F281" s="33" t="str">
        <f t="shared" si="29"/>
        <v/>
      </c>
      <c r="G281" s="38"/>
      <c r="H281" s="38"/>
      <c r="I281" s="38"/>
      <c r="J281" s="36"/>
      <c r="K281" s="29"/>
      <c r="L281" s="29"/>
      <c r="M281" s="31"/>
      <c r="N281" s="40">
        <f t="shared" si="30"/>
        <v>0</v>
      </c>
      <c r="P281" s="4" t="str">
        <f t="shared" si="31"/>
        <v/>
      </c>
      <c r="Q281" s="4" t="str">
        <f t="shared" si="32"/>
        <v/>
      </c>
      <c r="R281" s="4" t="str">
        <f t="shared" si="33"/>
        <v>/</v>
      </c>
      <c r="S281" s="4" t="str">
        <f t="shared" si="34"/>
        <v/>
      </c>
    </row>
    <row r="282" spans="1:19" x14ac:dyDescent="0.35">
      <c r="A282" s="54"/>
      <c r="B282" s="57"/>
      <c r="C282" s="60"/>
      <c r="D282" s="66" t="str">
        <f t="shared" si="28"/>
        <v/>
      </c>
      <c r="E282" s="64" t="str">
        <f>IF(OR(C282="",A282=""),"",IF(A282&lt;'Page de garde'!$G$7,IF(VALUE(RIGHT(C282,2))&lt;50,66,86),INDEX(EC!$C$2:$C$677,MATCH(C282,EC,0))))</f>
        <v/>
      </c>
      <c r="F282" s="33" t="str">
        <f t="shared" si="29"/>
        <v/>
      </c>
      <c r="G282" s="38"/>
      <c r="H282" s="38"/>
      <c r="I282" s="38"/>
      <c r="J282" s="36"/>
      <c r="K282" s="29"/>
      <c r="L282" s="29"/>
      <c r="M282" s="31"/>
      <c r="N282" s="40">
        <f t="shared" si="30"/>
        <v>0</v>
      </c>
      <c r="P282" s="4" t="str">
        <f t="shared" si="31"/>
        <v/>
      </c>
      <c r="Q282" s="4" t="str">
        <f t="shared" si="32"/>
        <v/>
      </c>
      <c r="R282" s="4" t="str">
        <f t="shared" si="33"/>
        <v>/</v>
      </c>
      <c r="S282" s="4" t="str">
        <f t="shared" si="34"/>
        <v/>
      </c>
    </row>
    <row r="283" spans="1:19" x14ac:dyDescent="0.35">
      <c r="A283" s="54"/>
      <c r="B283" s="57"/>
      <c r="C283" s="60"/>
      <c r="D283" s="66" t="str">
        <f t="shared" si="28"/>
        <v/>
      </c>
      <c r="E283" s="64" t="str">
        <f>IF(OR(C283="",A283=""),"",IF(A283&lt;'Page de garde'!$G$7,IF(VALUE(RIGHT(C283,2))&lt;50,66,86),INDEX(EC!$C$2:$C$677,MATCH(C283,EC,0))))</f>
        <v/>
      </c>
      <c r="F283" s="33" t="str">
        <f t="shared" si="29"/>
        <v/>
      </c>
      <c r="G283" s="38"/>
      <c r="H283" s="38"/>
      <c r="I283" s="38"/>
      <c r="J283" s="36"/>
      <c r="K283" s="29"/>
      <c r="L283" s="29"/>
      <c r="M283" s="31"/>
      <c r="N283" s="40">
        <f t="shared" si="30"/>
        <v>0</v>
      </c>
      <c r="P283" s="4" t="str">
        <f t="shared" si="31"/>
        <v/>
      </c>
      <c r="Q283" s="4" t="str">
        <f t="shared" si="32"/>
        <v/>
      </c>
      <c r="R283" s="4" t="str">
        <f t="shared" si="33"/>
        <v>/</v>
      </c>
      <c r="S283" s="4" t="str">
        <f t="shared" si="34"/>
        <v/>
      </c>
    </row>
    <row r="284" spans="1:19" x14ac:dyDescent="0.35">
      <c r="A284" s="54"/>
      <c r="B284" s="57"/>
      <c r="C284" s="60"/>
      <c r="D284" s="66" t="str">
        <f t="shared" si="28"/>
        <v/>
      </c>
      <c r="E284" s="64" t="str">
        <f>IF(OR(C284="",A284=""),"",IF(A284&lt;'Page de garde'!$G$7,IF(VALUE(RIGHT(C284,2))&lt;50,66,86),INDEX(EC!$C$2:$C$677,MATCH(C284,EC,0))))</f>
        <v/>
      </c>
      <c r="F284" s="33" t="str">
        <f t="shared" si="29"/>
        <v/>
      </c>
      <c r="G284" s="38"/>
      <c r="H284" s="38"/>
      <c r="I284" s="38"/>
      <c r="J284" s="36"/>
      <c r="K284" s="29"/>
      <c r="L284" s="29"/>
      <c r="M284" s="31"/>
      <c r="N284" s="40">
        <f t="shared" si="30"/>
        <v>0</v>
      </c>
      <c r="P284" s="4" t="str">
        <f t="shared" si="31"/>
        <v/>
      </c>
      <c r="Q284" s="4" t="str">
        <f t="shared" si="32"/>
        <v/>
      </c>
      <c r="R284" s="4" t="str">
        <f t="shared" si="33"/>
        <v>/</v>
      </c>
      <c r="S284" s="4" t="str">
        <f t="shared" si="34"/>
        <v/>
      </c>
    </row>
    <row r="285" spans="1:19" x14ac:dyDescent="0.35">
      <c r="A285" s="54"/>
      <c r="B285" s="57"/>
      <c r="C285" s="60"/>
      <c r="D285" s="66" t="str">
        <f t="shared" si="28"/>
        <v/>
      </c>
      <c r="E285" s="64" t="str">
        <f>IF(OR(C285="",A285=""),"",IF(A285&lt;'Page de garde'!$G$7,IF(VALUE(RIGHT(C285,2))&lt;50,66,86),INDEX(EC!$C$2:$C$677,MATCH(C285,EC,0))))</f>
        <v/>
      </c>
      <c r="F285" s="33" t="str">
        <f t="shared" si="29"/>
        <v/>
      </c>
      <c r="G285" s="38"/>
      <c r="H285" s="38"/>
      <c r="I285" s="38"/>
      <c r="J285" s="36"/>
      <c r="K285" s="29"/>
      <c r="L285" s="29"/>
      <c r="M285" s="31"/>
      <c r="N285" s="40">
        <f t="shared" si="30"/>
        <v>0</v>
      </c>
      <c r="P285" s="4" t="str">
        <f t="shared" si="31"/>
        <v/>
      </c>
      <c r="Q285" s="4" t="str">
        <f t="shared" si="32"/>
        <v/>
      </c>
      <c r="R285" s="4" t="str">
        <f t="shared" si="33"/>
        <v>/</v>
      </c>
      <c r="S285" s="4" t="str">
        <f t="shared" si="34"/>
        <v/>
      </c>
    </row>
    <row r="286" spans="1:19" x14ac:dyDescent="0.35">
      <c r="A286" s="54"/>
      <c r="B286" s="57"/>
      <c r="C286" s="60"/>
      <c r="D286" s="66" t="str">
        <f t="shared" si="28"/>
        <v/>
      </c>
      <c r="E286" s="64" t="str">
        <f>IF(OR(C286="",A286=""),"",IF(A286&lt;'Page de garde'!$G$7,IF(VALUE(RIGHT(C286,2))&lt;50,66,86),INDEX(EC!$C$2:$C$677,MATCH(C286,EC,0))))</f>
        <v/>
      </c>
      <c r="F286" s="33" t="str">
        <f t="shared" si="29"/>
        <v/>
      </c>
      <c r="G286" s="38"/>
      <c r="H286" s="38"/>
      <c r="I286" s="38"/>
      <c r="J286" s="36"/>
      <c r="K286" s="29"/>
      <c r="L286" s="29"/>
      <c r="M286" s="31"/>
      <c r="N286" s="40">
        <f t="shared" si="30"/>
        <v>0</v>
      </c>
      <c r="P286" s="4" t="str">
        <f t="shared" si="31"/>
        <v/>
      </c>
      <c r="Q286" s="4" t="str">
        <f t="shared" si="32"/>
        <v/>
      </c>
      <c r="R286" s="4" t="str">
        <f t="shared" si="33"/>
        <v>/</v>
      </c>
      <c r="S286" s="4" t="str">
        <f t="shared" si="34"/>
        <v/>
      </c>
    </row>
    <row r="287" spans="1:19" x14ac:dyDescent="0.35">
      <c r="A287" s="54"/>
      <c r="B287" s="57"/>
      <c r="C287" s="60"/>
      <c r="D287" s="66" t="str">
        <f t="shared" si="28"/>
        <v/>
      </c>
      <c r="E287" s="64" t="str">
        <f>IF(OR(C287="",A287=""),"",IF(A287&lt;'Page de garde'!$G$7,IF(VALUE(RIGHT(C287,2))&lt;50,66,86),INDEX(EC!$C$2:$C$677,MATCH(C287,EC,0))))</f>
        <v/>
      </c>
      <c r="F287" s="33" t="str">
        <f t="shared" si="29"/>
        <v/>
      </c>
      <c r="G287" s="38"/>
      <c r="H287" s="38"/>
      <c r="I287" s="38"/>
      <c r="J287" s="36"/>
      <c r="K287" s="29"/>
      <c r="L287" s="29"/>
      <c r="M287" s="31"/>
      <c r="N287" s="40">
        <f t="shared" si="30"/>
        <v>0</v>
      </c>
      <c r="P287" s="4" t="str">
        <f t="shared" si="31"/>
        <v/>
      </c>
      <c r="Q287" s="4" t="str">
        <f t="shared" si="32"/>
        <v/>
      </c>
      <c r="R287" s="4" t="str">
        <f t="shared" si="33"/>
        <v>/</v>
      </c>
      <c r="S287" s="4" t="str">
        <f t="shared" si="34"/>
        <v/>
      </c>
    </row>
    <row r="288" spans="1:19" x14ac:dyDescent="0.35">
      <c r="A288" s="54"/>
      <c r="B288" s="57"/>
      <c r="C288" s="60"/>
      <c r="D288" s="66" t="str">
        <f t="shared" si="28"/>
        <v/>
      </c>
      <c r="E288" s="64" t="str">
        <f>IF(OR(C288="",A288=""),"",IF(A288&lt;'Page de garde'!$G$7,IF(VALUE(RIGHT(C288,2))&lt;50,66,86),INDEX(EC!$C$2:$C$677,MATCH(C288,EC,0))))</f>
        <v/>
      </c>
      <c r="F288" s="33" t="str">
        <f t="shared" si="29"/>
        <v/>
      </c>
      <c r="G288" s="38"/>
      <c r="H288" s="38"/>
      <c r="I288" s="38"/>
      <c r="J288" s="36"/>
      <c r="K288" s="29"/>
      <c r="L288" s="29"/>
      <c r="M288" s="31"/>
      <c r="N288" s="40">
        <f t="shared" si="30"/>
        <v>0</v>
      </c>
      <c r="P288" s="4" t="str">
        <f t="shared" si="31"/>
        <v/>
      </c>
      <c r="Q288" s="4" t="str">
        <f t="shared" si="32"/>
        <v/>
      </c>
      <c r="R288" s="4" t="str">
        <f t="shared" si="33"/>
        <v>/</v>
      </c>
      <c r="S288" s="4" t="str">
        <f t="shared" si="34"/>
        <v/>
      </c>
    </row>
    <row r="289" spans="1:19" x14ac:dyDescent="0.35">
      <c r="A289" s="54"/>
      <c r="B289" s="57"/>
      <c r="C289" s="60"/>
      <c r="D289" s="66" t="str">
        <f t="shared" si="28"/>
        <v/>
      </c>
      <c r="E289" s="64" t="str">
        <f>IF(OR(C289="",A289=""),"",IF(A289&lt;'Page de garde'!$G$7,IF(VALUE(RIGHT(C289,2))&lt;50,66,86),INDEX(EC!$C$2:$C$677,MATCH(C289,EC,0))))</f>
        <v/>
      </c>
      <c r="F289" s="33" t="str">
        <f t="shared" si="29"/>
        <v/>
      </c>
      <c r="G289" s="38"/>
      <c r="H289" s="38"/>
      <c r="I289" s="38"/>
      <c r="J289" s="36"/>
      <c r="K289" s="29"/>
      <c r="L289" s="29"/>
      <c r="M289" s="31"/>
      <c r="N289" s="40">
        <f t="shared" si="30"/>
        <v>0</v>
      </c>
      <c r="P289" s="4" t="str">
        <f t="shared" si="31"/>
        <v/>
      </c>
      <c r="Q289" s="4" t="str">
        <f t="shared" si="32"/>
        <v/>
      </c>
      <c r="R289" s="4" t="str">
        <f t="shared" si="33"/>
        <v>/</v>
      </c>
      <c r="S289" s="4" t="str">
        <f t="shared" si="34"/>
        <v/>
      </c>
    </row>
    <row r="290" spans="1:19" x14ac:dyDescent="0.35">
      <c r="A290" s="54"/>
      <c r="B290" s="57"/>
      <c r="C290" s="60"/>
      <c r="D290" s="66" t="str">
        <f t="shared" si="28"/>
        <v/>
      </c>
      <c r="E290" s="64" t="str">
        <f>IF(OR(C290="",A290=""),"",IF(A290&lt;'Page de garde'!$G$7,IF(VALUE(RIGHT(C290,2))&lt;50,66,86),INDEX(EC!$C$2:$C$677,MATCH(C290,EC,0))))</f>
        <v/>
      </c>
      <c r="F290" s="33" t="str">
        <f t="shared" si="29"/>
        <v/>
      </c>
      <c r="G290" s="38"/>
      <c r="H290" s="38"/>
      <c r="I290" s="38"/>
      <c r="J290" s="36"/>
      <c r="K290" s="29"/>
      <c r="L290" s="29"/>
      <c r="M290" s="31"/>
      <c r="N290" s="40">
        <f t="shared" si="30"/>
        <v>0</v>
      </c>
      <c r="P290" s="4" t="str">
        <f t="shared" si="31"/>
        <v/>
      </c>
      <c r="Q290" s="4" t="str">
        <f t="shared" si="32"/>
        <v/>
      </c>
      <c r="R290" s="4" t="str">
        <f t="shared" si="33"/>
        <v>/</v>
      </c>
      <c r="S290" s="4" t="str">
        <f t="shared" si="34"/>
        <v/>
      </c>
    </row>
    <row r="291" spans="1:19" x14ac:dyDescent="0.35">
      <c r="A291" s="54"/>
      <c r="B291" s="57"/>
      <c r="C291" s="60"/>
      <c r="D291" s="66" t="str">
        <f t="shared" si="28"/>
        <v/>
      </c>
      <c r="E291" s="64" t="str">
        <f>IF(OR(C291="",A291=""),"",IF(A291&lt;'Page de garde'!$G$7,IF(VALUE(RIGHT(C291,2))&lt;50,66,86),INDEX(EC!$C$2:$C$677,MATCH(C291,EC,0))))</f>
        <v/>
      </c>
      <c r="F291" s="33" t="str">
        <f t="shared" si="29"/>
        <v/>
      </c>
      <c r="G291" s="38"/>
      <c r="H291" s="38"/>
      <c r="I291" s="38"/>
      <c r="J291" s="36"/>
      <c r="K291" s="29"/>
      <c r="L291" s="29"/>
      <c r="M291" s="31"/>
      <c r="N291" s="40">
        <f t="shared" si="30"/>
        <v>0</v>
      </c>
      <c r="P291" s="4" t="str">
        <f t="shared" si="31"/>
        <v/>
      </c>
      <c r="Q291" s="4" t="str">
        <f t="shared" si="32"/>
        <v/>
      </c>
      <c r="R291" s="4" t="str">
        <f t="shared" si="33"/>
        <v>/</v>
      </c>
      <c r="S291" s="4" t="str">
        <f t="shared" si="34"/>
        <v/>
      </c>
    </row>
    <row r="292" spans="1:19" x14ac:dyDescent="0.35">
      <c r="A292" s="54"/>
      <c r="B292" s="57"/>
      <c r="C292" s="60"/>
      <c r="D292" s="66" t="str">
        <f t="shared" si="28"/>
        <v/>
      </c>
      <c r="E292" s="64" t="str">
        <f>IF(OR(C292="",A292=""),"",IF(A292&lt;'Page de garde'!$G$7,IF(VALUE(RIGHT(C292,2))&lt;50,66,86),INDEX(EC!$C$2:$C$677,MATCH(C292,EC,0))))</f>
        <v/>
      </c>
      <c r="F292" s="33" t="str">
        <f t="shared" si="29"/>
        <v/>
      </c>
      <c r="G292" s="38"/>
      <c r="H292" s="38"/>
      <c r="I292" s="38"/>
      <c r="J292" s="36"/>
      <c r="K292" s="29"/>
      <c r="L292" s="29"/>
      <c r="M292" s="31"/>
      <c r="N292" s="40">
        <f t="shared" si="30"/>
        <v>0</v>
      </c>
      <c r="P292" s="4" t="str">
        <f t="shared" si="31"/>
        <v/>
      </c>
      <c r="Q292" s="4" t="str">
        <f t="shared" si="32"/>
        <v/>
      </c>
      <c r="R292" s="4" t="str">
        <f t="shared" si="33"/>
        <v>/</v>
      </c>
      <c r="S292" s="4" t="str">
        <f t="shared" si="34"/>
        <v/>
      </c>
    </row>
    <row r="293" spans="1:19" x14ac:dyDescent="0.35">
      <c r="A293" s="54"/>
      <c r="B293" s="57"/>
      <c r="C293" s="60"/>
      <c r="D293" s="66" t="str">
        <f t="shared" si="28"/>
        <v/>
      </c>
      <c r="E293" s="64" t="str">
        <f>IF(OR(C293="",A293=""),"",IF(A293&lt;'Page de garde'!$G$7,IF(VALUE(RIGHT(C293,2))&lt;50,66,86),INDEX(EC!$C$2:$C$677,MATCH(C293,EC,0))))</f>
        <v/>
      </c>
      <c r="F293" s="33" t="str">
        <f t="shared" si="29"/>
        <v/>
      </c>
      <c r="G293" s="38"/>
      <c r="H293" s="38"/>
      <c r="I293" s="38"/>
      <c r="J293" s="36"/>
      <c r="K293" s="29"/>
      <c r="L293" s="29"/>
      <c r="M293" s="31"/>
      <c r="N293" s="40">
        <f t="shared" si="30"/>
        <v>0</v>
      </c>
      <c r="P293" s="4" t="str">
        <f t="shared" si="31"/>
        <v/>
      </c>
      <c r="Q293" s="4" t="str">
        <f t="shared" si="32"/>
        <v/>
      </c>
      <c r="R293" s="4" t="str">
        <f t="shared" si="33"/>
        <v>/</v>
      </c>
      <c r="S293" s="4" t="str">
        <f t="shared" si="34"/>
        <v/>
      </c>
    </row>
    <row r="294" spans="1:19" x14ac:dyDescent="0.35">
      <c r="A294" s="54"/>
      <c r="B294" s="57"/>
      <c r="C294" s="60"/>
      <c r="D294" s="66" t="str">
        <f t="shared" si="28"/>
        <v/>
      </c>
      <c r="E294" s="64" t="str">
        <f>IF(OR(C294="",A294=""),"",IF(A294&lt;'Page de garde'!$G$7,IF(VALUE(RIGHT(C294,2))&lt;50,66,86),INDEX(EC!$C$2:$C$677,MATCH(C294,EC,0))))</f>
        <v/>
      </c>
      <c r="F294" s="33" t="str">
        <f t="shared" si="29"/>
        <v/>
      </c>
      <c r="G294" s="38"/>
      <c r="H294" s="38"/>
      <c r="I294" s="38"/>
      <c r="J294" s="36"/>
      <c r="K294" s="29"/>
      <c r="L294" s="29"/>
      <c r="M294" s="31"/>
      <c r="N294" s="40">
        <f t="shared" si="30"/>
        <v>0</v>
      </c>
      <c r="P294" s="4" t="str">
        <f t="shared" si="31"/>
        <v/>
      </c>
      <c r="Q294" s="4" t="str">
        <f t="shared" si="32"/>
        <v/>
      </c>
      <c r="R294" s="4" t="str">
        <f t="shared" si="33"/>
        <v>/</v>
      </c>
      <c r="S294" s="4" t="str">
        <f t="shared" si="34"/>
        <v/>
      </c>
    </row>
    <row r="295" spans="1:19" x14ac:dyDescent="0.35">
      <c r="A295" s="54"/>
      <c r="B295" s="57"/>
      <c r="C295" s="60"/>
      <c r="D295" s="66" t="str">
        <f t="shared" si="28"/>
        <v/>
      </c>
      <c r="E295" s="64" t="str">
        <f>IF(OR(C295="",A295=""),"",IF(A295&lt;'Page de garde'!$G$7,IF(VALUE(RIGHT(C295,2))&lt;50,66,86),INDEX(EC!$C$2:$C$677,MATCH(C295,EC,0))))</f>
        <v/>
      </c>
      <c r="F295" s="33" t="str">
        <f t="shared" si="29"/>
        <v/>
      </c>
      <c r="G295" s="38"/>
      <c r="H295" s="38"/>
      <c r="I295" s="38"/>
      <c r="J295" s="36"/>
      <c r="K295" s="29"/>
      <c r="L295" s="29"/>
      <c r="M295" s="31"/>
      <c r="N295" s="40">
        <f t="shared" si="30"/>
        <v>0</v>
      </c>
      <c r="P295" s="4" t="str">
        <f t="shared" si="31"/>
        <v/>
      </c>
      <c r="Q295" s="4" t="str">
        <f t="shared" si="32"/>
        <v/>
      </c>
      <c r="R295" s="4" t="str">
        <f t="shared" si="33"/>
        <v>/</v>
      </c>
      <c r="S295" s="4" t="str">
        <f t="shared" si="34"/>
        <v/>
      </c>
    </row>
    <row r="296" spans="1:19" x14ac:dyDescent="0.35">
      <c r="A296" s="54"/>
      <c r="B296" s="57"/>
      <c r="C296" s="60"/>
      <c r="D296" s="66" t="str">
        <f t="shared" si="28"/>
        <v/>
      </c>
      <c r="E296" s="64" t="str">
        <f>IF(OR(C296="",A296=""),"",IF(A296&lt;'Page de garde'!$G$7,IF(VALUE(RIGHT(C296,2))&lt;50,66,86),INDEX(EC!$C$2:$C$677,MATCH(C296,EC,0))))</f>
        <v/>
      </c>
      <c r="F296" s="33" t="str">
        <f t="shared" si="29"/>
        <v/>
      </c>
      <c r="G296" s="38"/>
      <c r="H296" s="38"/>
      <c r="I296" s="38"/>
      <c r="J296" s="36"/>
      <c r="K296" s="29"/>
      <c r="L296" s="29"/>
      <c r="M296" s="31"/>
      <c r="N296" s="40">
        <f t="shared" si="30"/>
        <v>0</v>
      </c>
      <c r="P296" s="4" t="str">
        <f t="shared" si="31"/>
        <v/>
      </c>
      <c r="Q296" s="4" t="str">
        <f t="shared" si="32"/>
        <v/>
      </c>
      <c r="R296" s="4" t="str">
        <f t="shared" si="33"/>
        <v>/</v>
      </c>
      <c r="S296" s="4" t="str">
        <f t="shared" si="34"/>
        <v/>
      </c>
    </row>
    <row r="297" spans="1:19" x14ac:dyDescent="0.35">
      <c r="A297" s="54"/>
      <c r="B297" s="57"/>
      <c r="C297" s="60"/>
      <c r="D297" s="66" t="str">
        <f t="shared" si="28"/>
        <v/>
      </c>
      <c r="E297" s="64" t="str">
        <f>IF(OR(C297="",A297=""),"",IF(A297&lt;'Page de garde'!$G$7,IF(VALUE(RIGHT(C297,2))&lt;50,66,86),INDEX(EC!$C$2:$C$677,MATCH(C297,EC,0))))</f>
        <v/>
      </c>
      <c r="F297" s="33" t="str">
        <f t="shared" si="29"/>
        <v/>
      </c>
      <c r="G297" s="38"/>
      <c r="H297" s="38"/>
      <c r="I297" s="38"/>
      <c r="J297" s="36"/>
      <c r="K297" s="29"/>
      <c r="L297" s="29"/>
      <c r="M297" s="31"/>
      <c r="N297" s="40">
        <f t="shared" si="30"/>
        <v>0</v>
      </c>
      <c r="P297" s="4" t="str">
        <f t="shared" si="31"/>
        <v/>
      </c>
      <c r="Q297" s="4" t="str">
        <f t="shared" si="32"/>
        <v/>
      </c>
      <c r="R297" s="4" t="str">
        <f t="shared" si="33"/>
        <v>/</v>
      </c>
      <c r="S297" s="4" t="str">
        <f t="shared" si="34"/>
        <v/>
      </c>
    </row>
    <row r="298" spans="1:19" x14ac:dyDescent="0.35">
      <c r="A298" s="54"/>
      <c r="B298" s="57"/>
      <c r="C298" s="60"/>
      <c r="D298" s="66" t="str">
        <f t="shared" si="28"/>
        <v/>
      </c>
      <c r="E298" s="64" t="str">
        <f>IF(OR(C298="",A298=""),"",IF(A298&lt;'Page de garde'!$G$7,IF(VALUE(RIGHT(C298,2))&lt;50,66,86),INDEX(EC!$C$2:$C$677,MATCH(C298,EC,0))))</f>
        <v/>
      </c>
      <c r="F298" s="33" t="str">
        <f t="shared" si="29"/>
        <v/>
      </c>
      <c r="G298" s="38"/>
      <c r="H298" s="38"/>
      <c r="I298" s="38"/>
      <c r="J298" s="36"/>
      <c r="K298" s="29"/>
      <c r="L298" s="29"/>
      <c r="M298" s="31"/>
      <c r="N298" s="40">
        <f t="shared" si="30"/>
        <v>0</v>
      </c>
      <c r="P298" s="4" t="str">
        <f t="shared" si="31"/>
        <v/>
      </c>
      <c r="Q298" s="4" t="str">
        <f t="shared" si="32"/>
        <v/>
      </c>
      <c r="R298" s="4" t="str">
        <f t="shared" si="33"/>
        <v>/</v>
      </c>
      <c r="S298" s="4" t="str">
        <f t="shared" si="34"/>
        <v/>
      </c>
    </row>
    <row r="299" spans="1:19" x14ac:dyDescent="0.35">
      <c r="A299" s="54"/>
      <c r="B299" s="57"/>
      <c r="C299" s="60"/>
      <c r="D299" s="66" t="str">
        <f t="shared" si="28"/>
        <v/>
      </c>
      <c r="E299" s="64" t="str">
        <f>IF(OR(C299="",A299=""),"",IF(A299&lt;'Page de garde'!$G$7,IF(VALUE(RIGHT(C299,2))&lt;50,66,86),INDEX(EC!$C$2:$C$677,MATCH(C299,EC,0))))</f>
        <v/>
      </c>
      <c r="F299" s="33" t="str">
        <f t="shared" si="29"/>
        <v/>
      </c>
      <c r="G299" s="38"/>
      <c r="H299" s="38"/>
      <c r="I299" s="38"/>
      <c r="J299" s="36"/>
      <c r="K299" s="29"/>
      <c r="L299" s="29"/>
      <c r="M299" s="31"/>
      <c r="N299" s="40">
        <f t="shared" si="30"/>
        <v>0</v>
      </c>
      <c r="P299" s="4" t="str">
        <f t="shared" si="31"/>
        <v/>
      </c>
      <c r="Q299" s="4" t="str">
        <f t="shared" si="32"/>
        <v/>
      </c>
      <c r="R299" s="4" t="str">
        <f t="shared" si="33"/>
        <v>/</v>
      </c>
      <c r="S299" s="4" t="str">
        <f t="shared" si="34"/>
        <v/>
      </c>
    </row>
    <row r="300" spans="1:19" x14ac:dyDescent="0.35">
      <c r="A300" s="54"/>
      <c r="B300" s="57"/>
      <c r="C300" s="60"/>
      <c r="D300" s="66" t="str">
        <f t="shared" si="28"/>
        <v/>
      </c>
      <c r="E300" s="64" t="str">
        <f>IF(OR(C300="",A300=""),"",IF(A300&lt;'Page de garde'!$G$7,IF(VALUE(RIGHT(C300,2))&lt;50,66,86),INDEX(EC!$C$2:$C$677,MATCH(C300,EC,0))))</f>
        <v/>
      </c>
      <c r="F300" s="33" t="str">
        <f t="shared" si="29"/>
        <v/>
      </c>
      <c r="G300" s="38"/>
      <c r="H300" s="38"/>
      <c r="I300" s="38"/>
      <c r="J300" s="36"/>
      <c r="K300" s="29"/>
      <c r="L300" s="29"/>
      <c r="M300" s="31"/>
      <c r="N300" s="40">
        <f t="shared" si="30"/>
        <v>0</v>
      </c>
      <c r="P300" s="4" t="str">
        <f t="shared" si="31"/>
        <v/>
      </c>
      <c r="Q300" s="4" t="str">
        <f t="shared" si="32"/>
        <v/>
      </c>
      <c r="R300" s="4" t="str">
        <f t="shared" si="33"/>
        <v>/</v>
      </c>
      <c r="S300" s="4" t="str">
        <f t="shared" si="34"/>
        <v/>
      </c>
    </row>
    <row r="301" spans="1:19" x14ac:dyDescent="0.35">
      <c r="A301" s="54"/>
      <c r="B301" s="57"/>
      <c r="C301" s="60"/>
      <c r="D301" s="66" t="str">
        <f t="shared" si="28"/>
        <v/>
      </c>
      <c r="E301" s="64" t="str">
        <f>IF(OR(C301="",A301=""),"",IF(A301&lt;'Page de garde'!$G$7,IF(VALUE(RIGHT(C301,2))&lt;50,66,86),INDEX(EC!$C$2:$C$677,MATCH(C301,EC,0))))</f>
        <v/>
      </c>
      <c r="F301" s="33" t="str">
        <f t="shared" si="29"/>
        <v/>
      </c>
      <c r="G301" s="38"/>
      <c r="H301" s="38"/>
      <c r="I301" s="38"/>
      <c r="J301" s="36"/>
      <c r="K301" s="29"/>
      <c r="L301" s="29"/>
      <c r="M301" s="31"/>
      <c r="N301" s="40">
        <f t="shared" si="30"/>
        <v>0</v>
      </c>
      <c r="P301" s="4" t="str">
        <f t="shared" si="31"/>
        <v/>
      </c>
      <c r="Q301" s="4" t="str">
        <f t="shared" si="32"/>
        <v/>
      </c>
      <c r="R301" s="4" t="str">
        <f t="shared" si="33"/>
        <v>/</v>
      </c>
      <c r="S301" s="4" t="str">
        <f t="shared" si="34"/>
        <v/>
      </c>
    </row>
    <row r="302" spans="1:19" x14ac:dyDescent="0.35">
      <c r="A302" s="54"/>
      <c r="B302" s="57"/>
      <c r="C302" s="60"/>
      <c r="D302" s="66" t="str">
        <f t="shared" si="28"/>
        <v/>
      </c>
      <c r="E302" s="64" t="str">
        <f>IF(OR(C302="",A302=""),"",IF(A302&lt;'Page de garde'!$G$7,IF(VALUE(RIGHT(C302,2))&lt;50,66,86),INDEX(EC!$C$2:$C$677,MATCH(C302,EC,0))))</f>
        <v/>
      </c>
      <c r="F302" s="33" t="str">
        <f t="shared" si="29"/>
        <v/>
      </c>
      <c r="G302" s="38"/>
      <c r="H302" s="38"/>
      <c r="I302" s="38"/>
      <c r="J302" s="36"/>
      <c r="K302" s="29"/>
      <c r="L302" s="29"/>
      <c r="M302" s="31"/>
      <c r="N302" s="40">
        <f t="shared" si="30"/>
        <v>0</v>
      </c>
      <c r="P302" s="4" t="str">
        <f t="shared" si="31"/>
        <v/>
      </c>
      <c r="Q302" s="4" t="str">
        <f t="shared" si="32"/>
        <v/>
      </c>
      <c r="R302" s="4" t="str">
        <f t="shared" si="33"/>
        <v>/</v>
      </c>
      <c r="S302" s="4" t="str">
        <f t="shared" si="34"/>
        <v/>
      </c>
    </row>
    <row r="303" spans="1:19" x14ac:dyDescent="0.35">
      <c r="A303" s="54"/>
      <c r="B303" s="57"/>
      <c r="C303" s="60"/>
      <c r="D303" s="66" t="str">
        <f t="shared" si="28"/>
        <v/>
      </c>
      <c r="E303" s="64" t="str">
        <f>IF(OR(C303="",A303=""),"",IF(A303&lt;'Page de garde'!$G$7,IF(VALUE(RIGHT(C303,2))&lt;50,66,86),INDEX(EC!$C$2:$C$677,MATCH(C303,EC,0))))</f>
        <v/>
      </c>
      <c r="F303" s="33" t="str">
        <f t="shared" si="29"/>
        <v/>
      </c>
      <c r="G303" s="38"/>
      <c r="H303" s="38"/>
      <c r="I303" s="38"/>
      <c r="J303" s="36"/>
      <c r="K303" s="29"/>
      <c r="L303" s="29"/>
      <c r="M303" s="31"/>
      <c r="N303" s="40">
        <f t="shared" si="30"/>
        <v>0</v>
      </c>
      <c r="P303" s="4" t="str">
        <f t="shared" si="31"/>
        <v/>
      </c>
      <c r="Q303" s="4" t="str">
        <f t="shared" si="32"/>
        <v/>
      </c>
      <c r="R303" s="4" t="str">
        <f t="shared" si="33"/>
        <v>/</v>
      </c>
      <c r="S303" s="4" t="str">
        <f t="shared" si="34"/>
        <v/>
      </c>
    </row>
    <row r="304" spans="1:19" x14ac:dyDescent="0.35">
      <c r="A304" s="54"/>
      <c r="B304" s="57"/>
      <c r="C304" s="60"/>
      <c r="D304" s="66" t="str">
        <f t="shared" si="28"/>
        <v/>
      </c>
      <c r="E304" s="64" t="str">
        <f>IF(OR(C304="",A304=""),"",IF(A304&lt;'Page de garde'!$G$7,IF(VALUE(RIGHT(C304,2))&lt;50,66,86),INDEX(EC!$C$2:$C$677,MATCH(C304,EC,0))))</f>
        <v/>
      </c>
      <c r="F304" s="33" t="str">
        <f t="shared" si="29"/>
        <v/>
      </c>
      <c r="G304" s="38"/>
      <c r="H304" s="38"/>
      <c r="I304" s="38"/>
      <c r="J304" s="36"/>
      <c r="K304" s="29"/>
      <c r="L304" s="29"/>
      <c r="M304" s="31"/>
      <c r="N304" s="40">
        <f t="shared" si="30"/>
        <v>0</v>
      </c>
      <c r="P304" s="4" t="str">
        <f t="shared" si="31"/>
        <v/>
      </c>
      <c r="Q304" s="4" t="str">
        <f t="shared" si="32"/>
        <v/>
      </c>
      <c r="R304" s="4" t="str">
        <f t="shared" si="33"/>
        <v>/</v>
      </c>
      <c r="S304" s="4" t="str">
        <f t="shared" si="34"/>
        <v/>
      </c>
    </row>
    <row r="305" spans="1:19" x14ac:dyDescent="0.35">
      <c r="A305" s="54"/>
      <c r="B305" s="57"/>
      <c r="C305" s="60"/>
      <c r="D305" s="66" t="str">
        <f t="shared" si="28"/>
        <v/>
      </c>
      <c r="E305" s="64" t="str">
        <f>IF(OR(C305="",A305=""),"",IF(A305&lt;'Page de garde'!$G$7,IF(VALUE(RIGHT(C305,2))&lt;50,66,86),INDEX(EC!$C$2:$C$677,MATCH(C305,EC,0))))</f>
        <v/>
      </c>
      <c r="F305" s="33" t="str">
        <f t="shared" si="29"/>
        <v/>
      </c>
      <c r="G305" s="38"/>
      <c r="H305" s="38"/>
      <c r="I305" s="38"/>
      <c r="J305" s="36"/>
      <c r="K305" s="29"/>
      <c r="L305" s="29"/>
      <c r="M305" s="31"/>
      <c r="N305" s="40">
        <f t="shared" si="30"/>
        <v>0</v>
      </c>
      <c r="P305" s="4" t="str">
        <f t="shared" si="31"/>
        <v/>
      </c>
      <c r="Q305" s="4" t="str">
        <f t="shared" si="32"/>
        <v/>
      </c>
      <c r="R305" s="4" t="str">
        <f t="shared" si="33"/>
        <v>/</v>
      </c>
      <c r="S305" s="4" t="str">
        <f t="shared" si="34"/>
        <v/>
      </c>
    </row>
    <row r="306" spans="1:19" x14ac:dyDescent="0.35">
      <c r="A306" s="54"/>
      <c r="B306" s="57"/>
      <c r="C306" s="60"/>
      <c r="D306" s="66" t="str">
        <f t="shared" si="28"/>
        <v/>
      </c>
      <c r="E306" s="64" t="str">
        <f>IF(OR(C306="",A306=""),"",IF(A306&lt;'Page de garde'!$G$7,IF(VALUE(RIGHT(C306,2))&lt;50,66,86),INDEX(EC!$C$2:$C$677,MATCH(C306,EC,0))))</f>
        <v/>
      </c>
      <c r="F306" s="33" t="str">
        <f t="shared" si="29"/>
        <v/>
      </c>
      <c r="G306" s="38"/>
      <c r="H306" s="38"/>
      <c r="I306" s="38"/>
      <c r="J306" s="36"/>
      <c r="K306" s="29"/>
      <c r="L306" s="29"/>
      <c r="M306" s="31"/>
      <c r="N306" s="40">
        <f t="shared" si="30"/>
        <v>0</v>
      </c>
      <c r="P306" s="4" t="str">
        <f t="shared" si="31"/>
        <v/>
      </c>
      <c r="Q306" s="4" t="str">
        <f t="shared" si="32"/>
        <v/>
      </c>
      <c r="R306" s="4" t="str">
        <f t="shared" si="33"/>
        <v>/</v>
      </c>
      <c r="S306" s="4" t="str">
        <f t="shared" si="34"/>
        <v/>
      </c>
    </row>
    <row r="307" spans="1:19" x14ac:dyDescent="0.35">
      <c r="A307" s="54"/>
      <c r="B307" s="57"/>
      <c r="C307" s="60"/>
      <c r="D307" s="66" t="str">
        <f t="shared" si="28"/>
        <v/>
      </c>
      <c r="E307" s="64" t="str">
        <f>IF(OR(C307="",A307=""),"",IF(A307&lt;'Page de garde'!$G$7,IF(VALUE(RIGHT(C307,2))&lt;50,66,86),INDEX(EC!$C$2:$C$677,MATCH(C307,EC,0))))</f>
        <v/>
      </c>
      <c r="F307" s="33" t="str">
        <f t="shared" si="29"/>
        <v/>
      </c>
      <c r="G307" s="38"/>
      <c r="H307" s="38"/>
      <c r="I307" s="38"/>
      <c r="J307" s="36"/>
      <c r="K307" s="29"/>
      <c r="L307" s="29"/>
      <c r="M307" s="31"/>
      <c r="N307" s="40">
        <f t="shared" si="30"/>
        <v>0</v>
      </c>
      <c r="P307" s="4" t="str">
        <f t="shared" si="31"/>
        <v/>
      </c>
      <c r="Q307" s="4" t="str">
        <f t="shared" si="32"/>
        <v/>
      </c>
      <c r="R307" s="4" t="str">
        <f t="shared" si="33"/>
        <v>/</v>
      </c>
      <c r="S307" s="4" t="str">
        <f t="shared" si="34"/>
        <v/>
      </c>
    </row>
    <row r="308" spans="1:19" x14ac:dyDescent="0.35">
      <c r="A308" s="54"/>
      <c r="B308" s="57"/>
      <c r="C308" s="60"/>
      <c r="D308" s="66" t="str">
        <f t="shared" si="28"/>
        <v/>
      </c>
      <c r="E308" s="64" t="str">
        <f>IF(OR(C308="",A308=""),"",IF(A308&lt;'Page de garde'!$G$7,IF(VALUE(RIGHT(C308,2))&lt;50,66,86),INDEX(EC!$C$2:$C$677,MATCH(C308,EC,0))))</f>
        <v/>
      </c>
      <c r="F308" s="33" t="str">
        <f t="shared" si="29"/>
        <v/>
      </c>
      <c r="G308" s="38"/>
      <c r="H308" s="38"/>
      <c r="I308" s="38"/>
      <c r="J308" s="36"/>
      <c r="K308" s="29"/>
      <c r="L308" s="29"/>
      <c r="M308" s="31"/>
      <c r="N308" s="40">
        <f t="shared" si="30"/>
        <v>0</v>
      </c>
      <c r="P308" s="4" t="str">
        <f t="shared" si="31"/>
        <v/>
      </c>
      <c r="Q308" s="4" t="str">
        <f t="shared" si="32"/>
        <v/>
      </c>
      <c r="R308" s="4" t="str">
        <f t="shared" si="33"/>
        <v>/</v>
      </c>
      <c r="S308" s="4" t="str">
        <f t="shared" si="34"/>
        <v/>
      </c>
    </row>
    <row r="309" spans="1:19" x14ac:dyDescent="0.35">
      <c r="A309" s="54"/>
      <c r="B309" s="57"/>
      <c r="C309" s="60"/>
      <c r="D309" s="66" t="str">
        <f t="shared" si="28"/>
        <v/>
      </c>
      <c r="E309" s="64" t="str">
        <f>IF(OR(C309="",A309=""),"",IF(A309&lt;'Page de garde'!$G$7,IF(VALUE(RIGHT(C309,2))&lt;50,66,86),INDEX(EC!$C$2:$C$677,MATCH(C309,EC,0))))</f>
        <v/>
      </c>
      <c r="F309" s="33" t="str">
        <f t="shared" si="29"/>
        <v/>
      </c>
      <c r="G309" s="38"/>
      <c r="H309" s="38"/>
      <c r="I309" s="38"/>
      <c r="J309" s="36"/>
      <c r="K309" s="29"/>
      <c r="L309" s="29"/>
      <c r="M309" s="31"/>
      <c r="N309" s="40">
        <f t="shared" si="30"/>
        <v>0</v>
      </c>
      <c r="P309" s="4" t="str">
        <f t="shared" si="31"/>
        <v/>
      </c>
      <c r="Q309" s="4" t="str">
        <f t="shared" si="32"/>
        <v/>
      </c>
      <c r="R309" s="4" t="str">
        <f t="shared" si="33"/>
        <v>/</v>
      </c>
      <c r="S309" s="4" t="str">
        <f t="shared" si="34"/>
        <v/>
      </c>
    </row>
    <row r="310" spans="1:19" x14ac:dyDescent="0.35">
      <c r="A310" s="54"/>
      <c r="B310" s="57"/>
      <c r="C310" s="60"/>
      <c r="D310" s="66" t="str">
        <f t="shared" si="28"/>
        <v/>
      </c>
      <c r="E310" s="64" t="str">
        <f>IF(OR(C310="",A310=""),"",IF(A310&lt;'Page de garde'!$G$7,IF(VALUE(RIGHT(C310,2))&lt;50,66,86),INDEX(EC!$C$2:$C$677,MATCH(C310,EC,0))))</f>
        <v/>
      </c>
      <c r="F310" s="33" t="str">
        <f t="shared" si="29"/>
        <v/>
      </c>
      <c r="G310" s="38"/>
      <c r="H310" s="38"/>
      <c r="I310" s="38"/>
      <c r="J310" s="36"/>
      <c r="K310" s="29"/>
      <c r="L310" s="29"/>
      <c r="M310" s="31"/>
      <c r="N310" s="40">
        <f t="shared" si="30"/>
        <v>0</v>
      </c>
      <c r="P310" s="4" t="str">
        <f t="shared" si="31"/>
        <v/>
      </c>
      <c r="Q310" s="4" t="str">
        <f t="shared" si="32"/>
        <v/>
      </c>
      <c r="R310" s="4" t="str">
        <f t="shared" si="33"/>
        <v>/</v>
      </c>
      <c r="S310" s="4" t="str">
        <f t="shared" si="34"/>
        <v/>
      </c>
    </row>
    <row r="311" spans="1:19" x14ac:dyDescent="0.35">
      <c r="A311" s="54"/>
      <c r="B311" s="57"/>
      <c r="C311" s="60"/>
      <c r="D311" s="66" t="str">
        <f t="shared" si="28"/>
        <v/>
      </c>
      <c r="E311" s="64" t="str">
        <f>IF(OR(C311="",A311=""),"",IF(A311&lt;'Page de garde'!$G$7,IF(VALUE(RIGHT(C311,2))&lt;50,66,86),INDEX(EC!$C$2:$C$677,MATCH(C311,EC,0))))</f>
        <v/>
      </c>
      <c r="F311" s="33" t="str">
        <f t="shared" si="29"/>
        <v/>
      </c>
      <c r="G311" s="38"/>
      <c r="H311" s="38"/>
      <c r="I311" s="38"/>
      <c r="J311" s="36"/>
      <c r="K311" s="29"/>
      <c r="L311" s="29"/>
      <c r="M311" s="31"/>
      <c r="N311" s="40">
        <f t="shared" si="30"/>
        <v>0</v>
      </c>
      <c r="P311" s="4" t="str">
        <f t="shared" si="31"/>
        <v/>
      </c>
      <c r="Q311" s="4" t="str">
        <f t="shared" si="32"/>
        <v/>
      </c>
      <c r="R311" s="4" t="str">
        <f t="shared" si="33"/>
        <v>/</v>
      </c>
      <c r="S311" s="4" t="str">
        <f t="shared" si="34"/>
        <v/>
      </c>
    </row>
    <row r="312" spans="1:19" x14ac:dyDescent="0.35">
      <c r="A312" s="54"/>
      <c r="B312" s="57"/>
      <c r="C312" s="60"/>
      <c r="D312" s="66" t="str">
        <f t="shared" si="28"/>
        <v/>
      </c>
      <c r="E312" s="64" t="str">
        <f>IF(OR(C312="",A312=""),"",IF(A312&lt;'Page de garde'!$G$7,IF(VALUE(RIGHT(C312,2))&lt;50,66,86),INDEX(EC!$C$2:$C$677,MATCH(C312,EC,0))))</f>
        <v/>
      </c>
      <c r="F312" s="33" t="str">
        <f t="shared" si="29"/>
        <v/>
      </c>
      <c r="G312" s="38"/>
      <c r="H312" s="38"/>
      <c r="I312" s="38"/>
      <c r="J312" s="36"/>
      <c r="K312" s="29"/>
      <c r="L312" s="29"/>
      <c r="M312" s="31"/>
      <c r="N312" s="40">
        <f t="shared" si="30"/>
        <v>0</v>
      </c>
      <c r="P312" s="4" t="str">
        <f t="shared" si="31"/>
        <v/>
      </c>
      <c r="Q312" s="4" t="str">
        <f t="shared" si="32"/>
        <v/>
      </c>
      <c r="R312" s="4" t="str">
        <f t="shared" si="33"/>
        <v>/</v>
      </c>
      <c r="S312" s="4" t="str">
        <f t="shared" si="34"/>
        <v/>
      </c>
    </row>
    <row r="313" spans="1:19" x14ac:dyDescent="0.35">
      <c r="A313" s="54"/>
      <c r="B313" s="57"/>
      <c r="C313" s="60"/>
      <c r="D313" s="66" t="str">
        <f t="shared" si="28"/>
        <v/>
      </c>
      <c r="E313" s="64" t="str">
        <f>IF(OR(C313="",A313=""),"",IF(A313&lt;'Page de garde'!$G$7,IF(VALUE(RIGHT(C313,2))&lt;50,66,86),INDEX(EC!$C$2:$C$677,MATCH(C313,EC,0))))</f>
        <v/>
      </c>
      <c r="F313" s="33" t="str">
        <f t="shared" si="29"/>
        <v/>
      </c>
      <c r="G313" s="38"/>
      <c r="H313" s="38"/>
      <c r="I313" s="38"/>
      <c r="J313" s="36"/>
      <c r="K313" s="29"/>
      <c r="L313" s="29"/>
      <c r="M313" s="31"/>
      <c r="N313" s="40">
        <f t="shared" si="30"/>
        <v>0</v>
      </c>
      <c r="P313" s="4" t="str">
        <f t="shared" si="31"/>
        <v/>
      </c>
      <c r="Q313" s="4" t="str">
        <f t="shared" si="32"/>
        <v/>
      </c>
      <c r="R313" s="4" t="str">
        <f t="shared" si="33"/>
        <v>/</v>
      </c>
      <c r="S313" s="4" t="str">
        <f t="shared" si="34"/>
        <v/>
      </c>
    </row>
    <row r="314" spans="1:19" x14ac:dyDescent="0.35">
      <c r="A314" s="54"/>
      <c r="B314" s="57"/>
      <c r="C314" s="60"/>
      <c r="D314" s="66" t="str">
        <f t="shared" si="28"/>
        <v/>
      </c>
      <c r="E314" s="64" t="str">
        <f>IF(OR(C314="",A314=""),"",IF(A314&lt;'Page de garde'!$G$7,IF(VALUE(RIGHT(C314,2))&lt;50,66,86),INDEX(EC!$C$2:$C$677,MATCH(C314,EC,0))))</f>
        <v/>
      </c>
      <c r="F314" s="33" t="str">
        <f t="shared" si="29"/>
        <v/>
      </c>
      <c r="G314" s="38"/>
      <c r="H314" s="38"/>
      <c r="I314" s="38"/>
      <c r="J314" s="36"/>
      <c r="K314" s="29"/>
      <c r="L314" s="29"/>
      <c r="M314" s="31"/>
      <c r="N314" s="40">
        <f t="shared" si="30"/>
        <v>0</v>
      </c>
      <c r="P314" s="4" t="str">
        <f t="shared" si="31"/>
        <v/>
      </c>
      <c r="Q314" s="4" t="str">
        <f t="shared" si="32"/>
        <v/>
      </c>
      <c r="R314" s="4" t="str">
        <f t="shared" si="33"/>
        <v>/</v>
      </c>
      <c r="S314" s="4" t="str">
        <f t="shared" si="34"/>
        <v/>
      </c>
    </row>
    <row r="315" spans="1:19" x14ac:dyDescent="0.35">
      <c r="A315" s="54"/>
      <c r="B315" s="57"/>
      <c r="C315" s="60"/>
      <c r="D315" s="66" t="str">
        <f t="shared" si="28"/>
        <v/>
      </c>
      <c r="E315" s="64" t="str">
        <f>IF(OR(C315="",A315=""),"",IF(A315&lt;'Page de garde'!$G$7,IF(VALUE(RIGHT(C315,2))&lt;50,66,86),INDEX(EC!$C$2:$C$677,MATCH(C315,EC,0))))</f>
        <v/>
      </c>
      <c r="F315" s="33" t="str">
        <f t="shared" si="29"/>
        <v/>
      </c>
      <c r="G315" s="38"/>
      <c r="H315" s="38"/>
      <c r="I315" s="38"/>
      <c r="J315" s="36"/>
      <c r="K315" s="29"/>
      <c r="L315" s="29"/>
      <c r="M315" s="31"/>
      <c r="N315" s="40">
        <f t="shared" si="30"/>
        <v>0</v>
      </c>
      <c r="P315" s="4" t="str">
        <f t="shared" si="31"/>
        <v/>
      </c>
      <c r="Q315" s="4" t="str">
        <f t="shared" si="32"/>
        <v/>
      </c>
      <c r="R315" s="4" t="str">
        <f t="shared" si="33"/>
        <v>/</v>
      </c>
      <c r="S315" s="4" t="str">
        <f t="shared" si="34"/>
        <v/>
      </c>
    </row>
    <row r="316" spans="1:19" x14ac:dyDescent="0.35">
      <c r="A316" s="54"/>
      <c r="B316" s="57"/>
      <c r="C316" s="60"/>
      <c r="D316" s="66" t="str">
        <f t="shared" si="28"/>
        <v/>
      </c>
      <c r="E316" s="64" t="str">
        <f>IF(OR(C316="",A316=""),"",IF(A316&lt;'Page de garde'!$G$7,IF(VALUE(RIGHT(C316,2))&lt;50,66,86),INDEX(EC!$C$2:$C$677,MATCH(C316,EC,0))))</f>
        <v/>
      </c>
      <c r="F316" s="33" t="str">
        <f t="shared" si="29"/>
        <v/>
      </c>
      <c r="G316" s="38"/>
      <c r="H316" s="38"/>
      <c r="I316" s="38"/>
      <c r="J316" s="36"/>
      <c r="K316" s="29"/>
      <c r="L316" s="29"/>
      <c r="M316" s="31"/>
      <c r="N316" s="40">
        <f t="shared" si="30"/>
        <v>0</v>
      </c>
      <c r="P316" s="4" t="str">
        <f t="shared" si="31"/>
        <v/>
      </c>
      <c r="Q316" s="4" t="str">
        <f t="shared" si="32"/>
        <v/>
      </c>
      <c r="R316" s="4" t="str">
        <f t="shared" si="33"/>
        <v>/</v>
      </c>
      <c r="S316" s="4" t="str">
        <f t="shared" si="34"/>
        <v/>
      </c>
    </row>
    <row r="317" spans="1:19" x14ac:dyDescent="0.35">
      <c r="A317" s="54"/>
      <c r="B317" s="57"/>
      <c r="C317" s="60"/>
      <c r="D317" s="66" t="str">
        <f t="shared" si="28"/>
        <v/>
      </c>
      <c r="E317" s="64" t="str">
        <f>IF(OR(C317="",A317=""),"",IF(A317&lt;'Page de garde'!$G$7,IF(VALUE(RIGHT(C317,2))&lt;50,66,86),INDEX(EC!$C$2:$C$677,MATCH(C317,EC,0))))</f>
        <v/>
      </c>
      <c r="F317" s="33" t="str">
        <f t="shared" si="29"/>
        <v/>
      </c>
      <c r="G317" s="38"/>
      <c r="H317" s="38"/>
      <c r="I317" s="38"/>
      <c r="J317" s="36"/>
      <c r="K317" s="29"/>
      <c r="L317" s="29"/>
      <c r="M317" s="31"/>
      <c r="N317" s="40">
        <f t="shared" si="30"/>
        <v>0</v>
      </c>
      <c r="P317" s="4" t="str">
        <f t="shared" si="31"/>
        <v/>
      </c>
      <c r="Q317" s="4" t="str">
        <f t="shared" si="32"/>
        <v/>
      </c>
      <c r="R317" s="4" t="str">
        <f t="shared" si="33"/>
        <v>/</v>
      </c>
      <c r="S317" s="4" t="str">
        <f t="shared" si="34"/>
        <v/>
      </c>
    </row>
    <row r="318" spans="1:19" x14ac:dyDescent="0.35">
      <c r="A318" s="54"/>
      <c r="B318" s="57"/>
      <c r="C318" s="60"/>
      <c r="D318" s="66" t="str">
        <f t="shared" si="28"/>
        <v/>
      </c>
      <c r="E318" s="64" t="str">
        <f>IF(OR(C318="",A318=""),"",IF(A318&lt;'Page de garde'!$G$7,IF(VALUE(RIGHT(C318,2))&lt;50,66,86),INDEX(EC!$C$2:$C$677,MATCH(C318,EC,0))))</f>
        <v/>
      </c>
      <c r="F318" s="33" t="str">
        <f t="shared" si="29"/>
        <v/>
      </c>
      <c r="G318" s="38"/>
      <c r="H318" s="38"/>
      <c r="I318" s="38"/>
      <c r="J318" s="36"/>
      <c r="K318" s="29"/>
      <c r="L318" s="29"/>
      <c r="M318" s="31"/>
      <c r="N318" s="40">
        <f t="shared" si="30"/>
        <v>0</v>
      </c>
      <c r="P318" s="4" t="str">
        <f t="shared" si="31"/>
        <v/>
      </c>
      <c r="Q318" s="4" t="str">
        <f t="shared" si="32"/>
        <v/>
      </c>
      <c r="R318" s="4" t="str">
        <f t="shared" si="33"/>
        <v>/</v>
      </c>
      <c r="S318" s="4" t="str">
        <f t="shared" si="34"/>
        <v/>
      </c>
    </row>
    <row r="319" spans="1:19" x14ac:dyDescent="0.35">
      <c r="A319" s="54"/>
      <c r="B319" s="57"/>
      <c r="C319" s="60"/>
      <c r="D319" s="66" t="str">
        <f t="shared" si="28"/>
        <v/>
      </c>
      <c r="E319" s="64" t="str">
        <f>IF(OR(C319="",A319=""),"",IF(A319&lt;'Page de garde'!$G$7,IF(VALUE(RIGHT(C319,2))&lt;50,66,86),INDEX(EC!$C$2:$C$677,MATCH(C319,EC,0))))</f>
        <v/>
      </c>
      <c r="F319" s="33" t="str">
        <f t="shared" si="29"/>
        <v/>
      </c>
      <c r="G319" s="38"/>
      <c r="H319" s="38"/>
      <c r="I319" s="38"/>
      <c r="J319" s="36"/>
      <c r="K319" s="29"/>
      <c r="L319" s="29"/>
      <c r="M319" s="31"/>
      <c r="N319" s="40">
        <f t="shared" si="30"/>
        <v>0</v>
      </c>
      <c r="P319" s="4" t="str">
        <f t="shared" si="31"/>
        <v/>
      </c>
      <c r="Q319" s="4" t="str">
        <f t="shared" si="32"/>
        <v/>
      </c>
      <c r="R319" s="4" t="str">
        <f t="shared" si="33"/>
        <v>/</v>
      </c>
      <c r="S319" s="4" t="str">
        <f t="shared" si="34"/>
        <v/>
      </c>
    </row>
    <row r="320" spans="1:19" x14ac:dyDescent="0.35">
      <c r="A320" s="54"/>
      <c r="B320" s="57"/>
      <c r="C320" s="60"/>
      <c r="D320" s="66" t="str">
        <f t="shared" si="28"/>
        <v/>
      </c>
      <c r="E320" s="64" t="str">
        <f>IF(OR(C320="",A320=""),"",IF(A320&lt;'Page de garde'!$G$7,IF(VALUE(RIGHT(C320,2))&lt;50,66,86),INDEX(EC!$C$2:$C$677,MATCH(C320,EC,0))))</f>
        <v/>
      </c>
      <c r="F320" s="33" t="str">
        <f t="shared" si="29"/>
        <v/>
      </c>
      <c r="G320" s="38"/>
      <c r="H320" s="38"/>
      <c r="I320" s="38"/>
      <c r="J320" s="36"/>
      <c r="K320" s="29"/>
      <c r="L320" s="29"/>
      <c r="M320" s="31"/>
      <c r="N320" s="40">
        <f t="shared" si="30"/>
        <v>0</v>
      </c>
      <c r="P320" s="4" t="str">
        <f t="shared" si="31"/>
        <v/>
      </c>
      <c r="Q320" s="4" t="str">
        <f t="shared" si="32"/>
        <v/>
      </c>
      <c r="R320" s="4" t="str">
        <f t="shared" si="33"/>
        <v>/</v>
      </c>
      <c r="S320" s="4" t="str">
        <f t="shared" si="34"/>
        <v/>
      </c>
    </row>
    <row r="321" spans="1:19" x14ac:dyDescent="0.35">
      <c r="A321" s="54"/>
      <c r="B321" s="57"/>
      <c r="C321" s="60"/>
      <c r="D321" s="66" t="str">
        <f t="shared" si="28"/>
        <v/>
      </c>
      <c r="E321" s="64" t="str">
        <f>IF(OR(C321="",A321=""),"",IF(A321&lt;'Page de garde'!$G$7,IF(VALUE(RIGHT(C321,2))&lt;50,66,86),INDEX(EC!$C$2:$C$677,MATCH(C321,EC,0))))</f>
        <v/>
      </c>
      <c r="F321" s="33" t="str">
        <f t="shared" si="29"/>
        <v/>
      </c>
      <c r="G321" s="38"/>
      <c r="H321" s="38"/>
      <c r="I321" s="38"/>
      <c r="J321" s="36"/>
      <c r="K321" s="29"/>
      <c r="L321" s="29"/>
      <c r="M321" s="31"/>
      <c r="N321" s="40">
        <f t="shared" si="30"/>
        <v>0</v>
      </c>
      <c r="P321" s="4" t="str">
        <f t="shared" si="31"/>
        <v/>
      </c>
      <c r="Q321" s="4" t="str">
        <f t="shared" si="32"/>
        <v/>
      </c>
      <c r="R321" s="4" t="str">
        <f t="shared" si="33"/>
        <v>/</v>
      </c>
      <c r="S321" s="4" t="str">
        <f t="shared" si="34"/>
        <v/>
      </c>
    </row>
    <row r="322" spans="1:19" x14ac:dyDescent="0.35">
      <c r="A322" s="54"/>
      <c r="B322" s="57"/>
      <c r="C322" s="60"/>
      <c r="D322" s="66" t="str">
        <f t="shared" si="28"/>
        <v/>
      </c>
      <c r="E322" s="64" t="str">
        <f>IF(OR(C322="",A322=""),"",IF(A322&lt;'Page de garde'!$G$7,IF(VALUE(RIGHT(C322,2))&lt;50,66,86),INDEX(EC!$C$2:$C$677,MATCH(C322,EC,0))))</f>
        <v/>
      </c>
      <c r="F322" s="33" t="str">
        <f t="shared" si="29"/>
        <v/>
      </c>
      <c r="G322" s="38"/>
      <c r="H322" s="38"/>
      <c r="I322" s="38"/>
      <c r="J322" s="36"/>
      <c r="K322" s="29"/>
      <c r="L322" s="29"/>
      <c r="M322" s="31"/>
      <c r="N322" s="40">
        <f t="shared" si="30"/>
        <v>0</v>
      </c>
      <c r="P322" s="4" t="str">
        <f t="shared" si="31"/>
        <v/>
      </c>
      <c r="Q322" s="4" t="str">
        <f t="shared" si="32"/>
        <v/>
      </c>
      <c r="R322" s="4" t="str">
        <f t="shared" si="33"/>
        <v>/</v>
      </c>
      <c r="S322" s="4" t="str">
        <f t="shared" si="34"/>
        <v/>
      </c>
    </row>
    <row r="323" spans="1:19" x14ac:dyDescent="0.35">
      <c r="A323" s="54"/>
      <c r="B323" s="57"/>
      <c r="C323" s="60"/>
      <c r="D323" s="66" t="str">
        <f t="shared" si="28"/>
        <v/>
      </c>
      <c r="E323" s="64" t="str">
        <f>IF(OR(C323="",A323=""),"",IF(A323&lt;'Page de garde'!$G$7,IF(VALUE(RIGHT(C323,2))&lt;50,66,86),INDEX(EC!$C$2:$C$677,MATCH(C323,EC,0))))</f>
        <v/>
      </c>
      <c r="F323" s="33" t="str">
        <f t="shared" si="29"/>
        <v/>
      </c>
      <c r="G323" s="38"/>
      <c r="H323" s="38"/>
      <c r="I323" s="38"/>
      <c r="J323" s="36"/>
      <c r="K323" s="29"/>
      <c r="L323" s="29"/>
      <c r="M323" s="31"/>
      <c r="N323" s="40">
        <f t="shared" si="30"/>
        <v>0</v>
      </c>
      <c r="P323" s="4" t="str">
        <f t="shared" si="31"/>
        <v/>
      </c>
      <c r="Q323" s="4" t="str">
        <f t="shared" si="32"/>
        <v/>
      </c>
      <c r="R323" s="4" t="str">
        <f t="shared" si="33"/>
        <v>/</v>
      </c>
      <c r="S323" s="4" t="str">
        <f t="shared" si="34"/>
        <v/>
      </c>
    </row>
    <row r="324" spans="1:19" x14ac:dyDescent="0.35">
      <c r="A324" s="54"/>
      <c r="B324" s="57"/>
      <c r="C324" s="60"/>
      <c r="D324" s="66" t="str">
        <f t="shared" si="28"/>
        <v/>
      </c>
      <c r="E324" s="64" t="str">
        <f>IF(OR(C324="",A324=""),"",IF(A324&lt;'Page de garde'!$G$7,IF(VALUE(RIGHT(C324,2))&lt;50,66,86),INDEX(EC!$C$2:$C$677,MATCH(C324,EC,0))))</f>
        <v/>
      </c>
      <c r="F324" s="33" t="str">
        <f t="shared" si="29"/>
        <v/>
      </c>
      <c r="G324" s="38"/>
      <c r="H324" s="38"/>
      <c r="I324" s="38"/>
      <c r="J324" s="36"/>
      <c r="K324" s="29"/>
      <c r="L324" s="29"/>
      <c r="M324" s="31"/>
      <c r="N324" s="40">
        <f t="shared" si="30"/>
        <v>0</v>
      </c>
      <c r="P324" s="4" t="str">
        <f t="shared" si="31"/>
        <v/>
      </c>
      <c r="Q324" s="4" t="str">
        <f t="shared" si="32"/>
        <v/>
      </c>
      <c r="R324" s="4" t="str">
        <f t="shared" si="33"/>
        <v>/</v>
      </c>
      <c r="S324" s="4" t="str">
        <f t="shared" si="34"/>
        <v/>
      </c>
    </row>
    <row r="325" spans="1:19" x14ac:dyDescent="0.35">
      <c r="A325" s="54"/>
      <c r="B325" s="57"/>
      <c r="C325" s="60"/>
      <c r="D325" s="66" t="str">
        <f t="shared" ref="D325:D388" si="35">IF(OR(B325="",C325=""),"",CONCATENATE(B325,"/",LEFT(C325,3),"-",RIGHT(C325,2)))</f>
        <v/>
      </c>
      <c r="E325" s="64" t="str">
        <f>IF(OR(C325="",A325=""),"",IF(A325&lt;'Page de garde'!$G$7,IF(VALUE(RIGHT(C325,2))&lt;50,66,86),INDEX(EC!$C$2:$C$677,MATCH(C325,EC,0))))</f>
        <v/>
      </c>
      <c r="F325" s="33" t="str">
        <f t="shared" ref="F325:F388" si="36">IF(C325="","",INDEX(OmEC,MATCH(C325,EC,0)))</f>
        <v/>
      </c>
      <c r="G325" s="38"/>
      <c r="H325" s="38"/>
      <c r="I325" s="38"/>
      <c r="J325" s="36"/>
      <c r="K325" s="29"/>
      <c r="L325" s="29"/>
      <c r="M325" s="31"/>
      <c r="N325" s="40">
        <f t="shared" ref="N325:N388" si="37">SUM(I325:M325)</f>
        <v>0</v>
      </c>
      <c r="P325" s="4" t="str">
        <f t="shared" ref="P325:P388" si="38">LEFT(C325,3)</f>
        <v/>
      </c>
      <c r="Q325" s="4" t="str">
        <f t="shared" si="32"/>
        <v/>
      </c>
      <c r="R325" s="4" t="str">
        <f t="shared" si="33"/>
        <v>/</v>
      </c>
      <c r="S325" s="4" t="str">
        <f t="shared" si="34"/>
        <v/>
      </c>
    </row>
    <row r="326" spans="1:19" x14ac:dyDescent="0.35">
      <c r="A326" s="54"/>
      <c r="B326" s="57"/>
      <c r="C326" s="60"/>
      <c r="D326" s="66" t="str">
        <f t="shared" si="35"/>
        <v/>
      </c>
      <c r="E326" s="64" t="str">
        <f>IF(OR(C326="",A326=""),"",IF(A326&lt;'Page de garde'!$G$7,IF(VALUE(RIGHT(C326,2))&lt;50,66,86),INDEX(EC!$C$2:$C$677,MATCH(C326,EC,0))))</f>
        <v/>
      </c>
      <c r="F326" s="33" t="str">
        <f t="shared" si="36"/>
        <v/>
      </c>
      <c r="G326" s="38"/>
      <c r="H326" s="38"/>
      <c r="I326" s="38"/>
      <c r="J326" s="36"/>
      <c r="K326" s="29"/>
      <c r="L326" s="29"/>
      <c r="M326" s="31"/>
      <c r="N326" s="40">
        <f t="shared" si="37"/>
        <v>0</v>
      </c>
      <c r="P326" s="4" t="str">
        <f t="shared" si="38"/>
        <v/>
      </c>
      <c r="Q326" s="4" t="str">
        <f t="shared" ref="Q326:Q389" si="39">IF(C326="","",IF(VALUE(RIGHT(C326,2))&lt;50,"G","B"))</f>
        <v/>
      </c>
      <c r="R326" s="4" t="str">
        <f t="shared" ref="R326:R389" si="40">CONCATENATE(D326,"/",A326)</f>
        <v>/</v>
      </c>
      <c r="S326" s="4" t="str">
        <f t="shared" ref="S326:S389" si="41">IF(B326="","",LEFT(B326,3))</f>
        <v/>
      </c>
    </row>
    <row r="327" spans="1:19" x14ac:dyDescent="0.35">
      <c r="A327" s="54"/>
      <c r="B327" s="57"/>
      <c r="C327" s="60"/>
      <c r="D327" s="66" t="str">
        <f t="shared" si="35"/>
        <v/>
      </c>
      <c r="E327" s="64" t="str">
        <f>IF(OR(C327="",A327=""),"",IF(A327&lt;'Page de garde'!$G$7,IF(VALUE(RIGHT(C327,2))&lt;50,66,86),INDEX(EC!$C$2:$C$677,MATCH(C327,EC,0))))</f>
        <v/>
      </c>
      <c r="F327" s="33" t="str">
        <f t="shared" si="36"/>
        <v/>
      </c>
      <c r="G327" s="38"/>
      <c r="H327" s="38"/>
      <c r="I327" s="38"/>
      <c r="J327" s="36"/>
      <c r="K327" s="29"/>
      <c r="L327" s="29"/>
      <c r="M327" s="31"/>
      <c r="N327" s="40">
        <f t="shared" si="37"/>
        <v>0</v>
      </c>
      <c r="P327" s="4" t="str">
        <f t="shared" si="38"/>
        <v/>
      </c>
      <c r="Q327" s="4" t="str">
        <f t="shared" si="39"/>
        <v/>
      </c>
      <c r="R327" s="4" t="str">
        <f t="shared" si="40"/>
        <v>/</v>
      </c>
      <c r="S327" s="4" t="str">
        <f t="shared" si="41"/>
        <v/>
      </c>
    </row>
    <row r="328" spans="1:19" x14ac:dyDescent="0.35">
      <c r="A328" s="54"/>
      <c r="B328" s="57"/>
      <c r="C328" s="60"/>
      <c r="D328" s="66" t="str">
        <f t="shared" si="35"/>
        <v/>
      </c>
      <c r="E328" s="64" t="str">
        <f>IF(OR(C328="",A328=""),"",IF(A328&lt;'Page de garde'!$G$7,IF(VALUE(RIGHT(C328,2))&lt;50,66,86),INDEX(EC!$C$2:$C$677,MATCH(C328,EC,0))))</f>
        <v/>
      </c>
      <c r="F328" s="33" t="str">
        <f t="shared" si="36"/>
        <v/>
      </c>
      <c r="G328" s="38"/>
      <c r="H328" s="38"/>
      <c r="I328" s="38"/>
      <c r="J328" s="36"/>
      <c r="K328" s="29"/>
      <c r="L328" s="29"/>
      <c r="M328" s="31"/>
      <c r="N328" s="40">
        <f t="shared" si="37"/>
        <v>0</v>
      </c>
      <c r="P328" s="4" t="str">
        <f t="shared" si="38"/>
        <v/>
      </c>
      <c r="Q328" s="4" t="str">
        <f t="shared" si="39"/>
        <v/>
      </c>
      <c r="R328" s="4" t="str">
        <f t="shared" si="40"/>
        <v>/</v>
      </c>
      <c r="S328" s="4" t="str">
        <f t="shared" si="41"/>
        <v/>
      </c>
    </row>
    <row r="329" spans="1:19" x14ac:dyDescent="0.35">
      <c r="A329" s="54"/>
      <c r="B329" s="57"/>
      <c r="C329" s="60"/>
      <c r="D329" s="66" t="str">
        <f t="shared" si="35"/>
        <v/>
      </c>
      <c r="E329" s="64" t="str">
        <f>IF(OR(C329="",A329=""),"",IF(A329&lt;'Page de garde'!$G$7,IF(VALUE(RIGHT(C329,2))&lt;50,66,86),INDEX(EC!$C$2:$C$677,MATCH(C329,EC,0))))</f>
        <v/>
      </c>
      <c r="F329" s="33" t="str">
        <f t="shared" si="36"/>
        <v/>
      </c>
      <c r="G329" s="38"/>
      <c r="H329" s="38"/>
      <c r="I329" s="38"/>
      <c r="J329" s="36"/>
      <c r="K329" s="29"/>
      <c r="L329" s="29"/>
      <c r="M329" s="31"/>
      <c r="N329" s="40">
        <f t="shared" si="37"/>
        <v>0</v>
      </c>
      <c r="P329" s="4" t="str">
        <f t="shared" si="38"/>
        <v/>
      </c>
      <c r="Q329" s="4" t="str">
        <f t="shared" si="39"/>
        <v/>
      </c>
      <c r="R329" s="4" t="str">
        <f t="shared" si="40"/>
        <v>/</v>
      </c>
      <c r="S329" s="4" t="str">
        <f t="shared" si="41"/>
        <v/>
      </c>
    </row>
    <row r="330" spans="1:19" x14ac:dyDescent="0.35">
      <c r="A330" s="54"/>
      <c r="B330" s="57"/>
      <c r="C330" s="60"/>
      <c r="D330" s="66" t="str">
        <f t="shared" si="35"/>
        <v/>
      </c>
      <c r="E330" s="64" t="str">
        <f>IF(OR(C330="",A330=""),"",IF(A330&lt;'Page de garde'!$G$7,IF(VALUE(RIGHT(C330,2))&lt;50,66,86),INDEX(EC!$C$2:$C$677,MATCH(C330,EC,0))))</f>
        <v/>
      </c>
      <c r="F330" s="33" t="str">
        <f t="shared" si="36"/>
        <v/>
      </c>
      <c r="G330" s="38"/>
      <c r="H330" s="38"/>
      <c r="I330" s="38"/>
      <c r="J330" s="36"/>
      <c r="K330" s="29"/>
      <c r="L330" s="29"/>
      <c r="M330" s="31"/>
      <c r="N330" s="40">
        <f t="shared" si="37"/>
        <v>0</v>
      </c>
      <c r="P330" s="4" t="str">
        <f t="shared" si="38"/>
        <v/>
      </c>
      <c r="Q330" s="4" t="str">
        <f t="shared" si="39"/>
        <v/>
      </c>
      <c r="R330" s="4" t="str">
        <f t="shared" si="40"/>
        <v>/</v>
      </c>
      <c r="S330" s="4" t="str">
        <f t="shared" si="41"/>
        <v/>
      </c>
    </row>
    <row r="331" spans="1:19" x14ac:dyDescent="0.35">
      <c r="A331" s="54"/>
      <c r="B331" s="57"/>
      <c r="C331" s="60"/>
      <c r="D331" s="66" t="str">
        <f t="shared" si="35"/>
        <v/>
      </c>
      <c r="E331" s="64" t="str">
        <f>IF(OR(C331="",A331=""),"",IF(A331&lt;'Page de garde'!$G$7,IF(VALUE(RIGHT(C331,2))&lt;50,66,86),INDEX(EC!$C$2:$C$677,MATCH(C331,EC,0))))</f>
        <v/>
      </c>
      <c r="F331" s="33" t="str">
        <f t="shared" si="36"/>
        <v/>
      </c>
      <c r="G331" s="38"/>
      <c r="H331" s="38"/>
      <c r="I331" s="38"/>
      <c r="J331" s="36"/>
      <c r="K331" s="29"/>
      <c r="L331" s="29"/>
      <c r="M331" s="31"/>
      <c r="N331" s="40">
        <f t="shared" si="37"/>
        <v>0</v>
      </c>
      <c r="P331" s="4" t="str">
        <f t="shared" si="38"/>
        <v/>
      </c>
      <c r="Q331" s="4" t="str">
        <f t="shared" si="39"/>
        <v/>
      </c>
      <c r="R331" s="4" t="str">
        <f t="shared" si="40"/>
        <v>/</v>
      </c>
      <c r="S331" s="4" t="str">
        <f t="shared" si="41"/>
        <v/>
      </c>
    </row>
    <row r="332" spans="1:19" x14ac:dyDescent="0.35">
      <c r="A332" s="54"/>
      <c r="B332" s="57"/>
      <c r="C332" s="60"/>
      <c r="D332" s="66" t="str">
        <f t="shared" si="35"/>
        <v/>
      </c>
      <c r="E332" s="64" t="str">
        <f>IF(OR(C332="",A332=""),"",IF(A332&lt;'Page de garde'!$G$7,IF(VALUE(RIGHT(C332,2))&lt;50,66,86),INDEX(EC!$C$2:$C$677,MATCH(C332,EC,0))))</f>
        <v/>
      </c>
      <c r="F332" s="33" t="str">
        <f t="shared" si="36"/>
        <v/>
      </c>
      <c r="G332" s="38"/>
      <c r="H332" s="38"/>
      <c r="I332" s="38"/>
      <c r="J332" s="36"/>
      <c r="K332" s="29"/>
      <c r="L332" s="29"/>
      <c r="M332" s="31"/>
      <c r="N332" s="40">
        <f t="shared" si="37"/>
        <v>0</v>
      </c>
      <c r="P332" s="4" t="str">
        <f t="shared" si="38"/>
        <v/>
      </c>
      <c r="Q332" s="4" t="str">
        <f t="shared" si="39"/>
        <v/>
      </c>
      <c r="R332" s="4" t="str">
        <f t="shared" si="40"/>
        <v>/</v>
      </c>
      <c r="S332" s="4" t="str">
        <f t="shared" si="41"/>
        <v/>
      </c>
    </row>
    <row r="333" spans="1:19" x14ac:dyDescent="0.35">
      <c r="A333" s="54"/>
      <c r="B333" s="57"/>
      <c r="C333" s="60"/>
      <c r="D333" s="66" t="str">
        <f t="shared" si="35"/>
        <v/>
      </c>
      <c r="E333" s="64" t="str">
        <f>IF(OR(C333="",A333=""),"",IF(A333&lt;'Page de garde'!$G$7,IF(VALUE(RIGHT(C333,2))&lt;50,66,86),INDEX(EC!$C$2:$C$677,MATCH(C333,EC,0))))</f>
        <v/>
      </c>
      <c r="F333" s="33" t="str">
        <f t="shared" si="36"/>
        <v/>
      </c>
      <c r="G333" s="38"/>
      <c r="H333" s="38"/>
      <c r="I333" s="38"/>
      <c r="J333" s="36"/>
      <c r="K333" s="29"/>
      <c r="L333" s="29"/>
      <c r="M333" s="31"/>
      <c r="N333" s="40">
        <f t="shared" si="37"/>
        <v>0</v>
      </c>
      <c r="P333" s="4" t="str">
        <f t="shared" si="38"/>
        <v/>
      </c>
      <c r="Q333" s="4" t="str">
        <f t="shared" si="39"/>
        <v/>
      </c>
      <c r="R333" s="4" t="str">
        <f t="shared" si="40"/>
        <v>/</v>
      </c>
      <c r="S333" s="4" t="str">
        <f t="shared" si="41"/>
        <v/>
      </c>
    </row>
    <row r="334" spans="1:19" x14ac:dyDescent="0.35">
      <c r="A334" s="54"/>
      <c r="B334" s="57"/>
      <c r="C334" s="60"/>
      <c r="D334" s="66" t="str">
        <f t="shared" si="35"/>
        <v/>
      </c>
      <c r="E334" s="64" t="str">
        <f>IF(OR(C334="",A334=""),"",IF(A334&lt;'Page de garde'!$G$7,IF(VALUE(RIGHT(C334,2))&lt;50,66,86),INDEX(EC!$C$2:$C$677,MATCH(C334,EC,0))))</f>
        <v/>
      </c>
      <c r="F334" s="33" t="str">
        <f t="shared" si="36"/>
        <v/>
      </c>
      <c r="G334" s="38"/>
      <c r="H334" s="38"/>
      <c r="I334" s="38"/>
      <c r="J334" s="36"/>
      <c r="K334" s="29"/>
      <c r="L334" s="29"/>
      <c r="M334" s="31"/>
      <c r="N334" s="40">
        <f t="shared" si="37"/>
        <v>0</v>
      </c>
      <c r="P334" s="4" t="str">
        <f t="shared" si="38"/>
        <v/>
      </c>
      <c r="Q334" s="4" t="str">
        <f t="shared" si="39"/>
        <v/>
      </c>
      <c r="R334" s="4" t="str">
        <f t="shared" si="40"/>
        <v>/</v>
      </c>
      <c r="S334" s="4" t="str">
        <f t="shared" si="41"/>
        <v/>
      </c>
    </row>
    <row r="335" spans="1:19" x14ac:dyDescent="0.35">
      <c r="A335" s="54"/>
      <c r="B335" s="57"/>
      <c r="C335" s="60"/>
      <c r="D335" s="66" t="str">
        <f t="shared" si="35"/>
        <v/>
      </c>
      <c r="E335" s="64" t="str">
        <f>IF(OR(C335="",A335=""),"",IF(A335&lt;'Page de garde'!$G$7,IF(VALUE(RIGHT(C335,2))&lt;50,66,86),INDEX(EC!$C$2:$C$677,MATCH(C335,EC,0))))</f>
        <v/>
      </c>
      <c r="F335" s="33" t="str">
        <f t="shared" si="36"/>
        <v/>
      </c>
      <c r="G335" s="38"/>
      <c r="H335" s="38"/>
      <c r="I335" s="38"/>
      <c r="J335" s="36"/>
      <c r="K335" s="29"/>
      <c r="L335" s="29"/>
      <c r="M335" s="31"/>
      <c r="N335" s="40">
        <f t="shared" si="37"/>
        <v>0</v>
      </c>
      <c r="P335" s="4" t="str">
        <f t="shared" si="38"/>
        <v/>
      </c>
      <c r="Q335" s="4" t="str">
        <f t="shared" si="39"/>
        <v/>
      </c>
      <c r="R335" s="4" t="str">
        <f t="shared" si="40"/>
        <v>/</v>
      </c>
      <c r="S335" s="4" t="str">
        <f t="shared" si="41"/>
        <v/>
      </c>
    </row>
    <row r="336" spans="1:19" x14ac:dyDescent="0.35">
      <c r="A336" s="54"/>
      <c r="B336" s="57"/>
      <c r="C336" s="60"/>
      <c r="D336" s="66" t="str">
        <f t="shared" si="35"/>
        <v/>
      </c>
      <c r="E336" s="64" t="str">
        <f>IF(OR(C336="",A336=""),"",IF(A336&lt;'Page de garde'!$G$7,IF(VALUE(RIGHT(C336,2))&lt;50,66,86),INDEX(EC!$C$2:$C$677,MATCH(C336,EC,0))))</f>
        <v/>
      </c>
      <c r="F336" s="33" t="str">
        <f t="shared" si="36"/>
        <v/>
      </c>
      <c r="G336" s="38"/>
      <c r="H336" s="38"/>
      <c r="I336" s="38"/>
      <c r="J336" s="36"/>
      <c r="K336" s="29"/>
      <c r="L336" s="29"/>
      <c r="M336" s="31"/>
      <c r="N336" s="40">
        <f t="shared" si="37"/>
        <v>0</v>
      </c>
      <c r="P336" s="4" t="str">
        <f t="shared" si="38"/>
        <v/>
      </c>
      <c r="Q336" s="4" t="str">
        <f t="shared" si="39"/>
        <v/>
      </c>
      <c r="R336" s="4" t="str">
        <f t="shared" si="40"/>
        <v>/</v>
      </c>
      <c r="S336" s="4" t="str">
        <f t="shared" si="41"/>
        <v/>
      </c>
    </row>
    <row r="337" spans="1:19" x14ac:dyDescent="0.35">
      <c r="A337" s="54"/>
      <c r="B337" s="57"/>
      <c r="C337" s="60"/>
      <c r="D337" s="66" t="str">
        <f t="shared" si="35"/>
        <v/>
      </c>
      <c r="E337" s="64" t="str">
        <f>IF(OR(C337="",A337=""),"",IF(A337&lt;'Page de garde'!$G$7,IF(VALUE(RIGHT(C337,2))&lt;50,66,86),INDEX(EC!$C$2:$C$677,MATCH(C337,EC,0))))</f>
        <v/>
      </c>
      <c r="F337" s="33" t="str">
        <f t="shared" si="36"/>
        <v/>
      </c>
      <c r="G337" s="38"/>
      <c r="H337" s="38"/>
      <c r="I337" s="38"/>
      <c r="J337" s="36"/>
      <c r="K337" s="29"/>
      <c r="L337" s="29"/>
      <c r="M337" s="31"/>
      <c r="N337" s="40">
        <f t="shared" si="37"/>
        <v>0</v>
      </c>
      <c r="P337" s="4" t="str">
        <f t="shared" si="38"/>
        <v/>
      </c>
      <c r="Q337" s="4" t="str">
        <f t="shared" si="39"/>
        <v/>
      </c>
      <c r="R337" s="4" t="str">
        <f t="shared" si="40"/>
        <v>/</v>
      </c>
      <c r="S337" s="4" t="str">
        <f t="shared" si="41"/>
        <v/>
      </c>
    </row>
    <row r="338" spans="1:19" x14ac:dyDescent="0.35">
      <c r="A338" s="54"/>
      <c r="B338" s="57"/>
      <c r="C338" s="60"/>
      <c r="D338" s="66" t="str">
        <f t="shared" si="35"/>
        <v/>
      </c>
      <c r="E338" s="64" t="str">
        <f>IF(OR(C338="",A338=""),"",IF(A338&lt;'Page de garde'!$G$7,IF(VALUE(RIGHT(C338,2))&lt;50,66,86),INDEX(EC!$C$2:$C$677,MATCH(C338,EC,0))))</f>
        <v/>
      </c>
      <c r="F338" s="33" t="str">
        <f t="shared" si="36"/>
        <v/>
      </c>
      <c r="G338" s="38"/>
      <c r="H338" s="38"/>
      <c r="I338" s="38"/>
      <c r="J338" s="36"/>
      <c r="K338" s="29"/>
      <c r="L338" s="29"/>
      <c r="M338" s="31"/>
      <c r="N338" s="40">
        <f t="shared" si="37"/>
        <v>0</v>
      </c>
      <c r="P338" s="4" t="str">
        <f t="shared" si="38"/>
        <v/>
      </c>
      <c r="Q338" s="4" t="str">
        <f t="shared" si="39"/>
        <v/>
      </c>
      <c r="R338" s="4" t="str">
        <f t="shared" si="40"/>
        <v>/</v>
      </c>
      <c r="S338" s="4" t="str">
        <f t="shared" si="41"/>
        <v/>
      </c>
    </row>
    <row r="339" spans="1:19" x14ac:dyDescent="0.35">
      <c r="A339" s="54"/>
      <c r="B339" s="57"/>
      <c r="C339" s="60"/>
      <c r="D339" s="66" t="str">
        <f t="shared" si="35"/>
        <v/>
      </c>
      <c r="E339" s="64" t="str">
        <f>IF(OR(C339="",A339=""),"",IF(A339&lt;'Page de garde'!$G$7,IF(VALUE(RIGHT(C339,2))&lt;50,66,86),INDEX(EC!$C$2:$C$677,MATCH(C339,EC,0))))</f>
        <v/>
      </c>
      <c r="F339" s="33" t="str">
        <f t="shared" si="36"/>
        <v/>
      </c>
      <c r="G339" s="38"/>
      <c r="H339" s="38"/>
      <c r="I339" s="38"/>
      <c r="J339" s="36"/>
      <c r="K339" s="29"/>
      <c r="L339" s="29"/>
      <c r="M339" s="31"/>
      <c r="N339" s="40">
        <f t="shared" si="37"/>
        <v>0</v>
      </c>
      <c r="P339" s="4" t="str">
        <f t="shared" si="38"/>
        <v/>
      </c>
      <c r="Q339" s="4" t="str">
        <f t="shared" si="39"/>
        <v/>
      </c>
      <c r="R339" s="4" t="str">
        <f t="shared" si="40"/>
        <v>/</v>
      </c>
      <c r="S339" s="4" t="str">
        <f t="shared" si="41"/>
        <v/>
      </c>
    </row>
    <row r="340" spans="1:19" x14ac:dyDescent="0.35">
      <c r="A340" s="54"/>
      <c r="B340" s="57"/>
      <c r="C340" s="60"/>
      <c r="D340" s="66" t="str">
        <f t="shared" si="35"/>
        <v/>
      </c>
      <c r="E340" s="64" t="str">
        <f>IF(OR(C340="",A340=""),"",IF(A340&lt;'Page de garde'!$G$7,IF(VALUE(RIGHT(C340,2))&lt;50,66,86),INDEX(EC!$C$2:$C$677,MATCH(C340,EC,0))))</f>
        <v/>
      </c>
      <c r="F340" s="33" t="str">
        <f t="shared" si="36"/>
        <v/>
      </c>
      <c r="G340" s="38"/>
      <c r="H340" s="38"/>
      <c r="I340" s="38"/>
      <c r="J340" s="36"/>
      <c r="K340" s="29"/>
      <c r="L340" s="29"/>
      <c r="M340" s="31"/>
      <c r="N340" s="40">
        <f t="shared" si="37"/>
        <v>0</v>
      </c>
      <c r="P340" s="4" t="str">
        <f t="shared" si="38"/>
        <v/>
      </c>
      <c r="Q340" s="4" t="str">
        <f t="shared" si="39"/>
        <v/>
      </c>
      <c r="R340" s="4" t="str">
        <f t="shared" si="40"/>
        <v>/</v>
      </c>
      <c r="S340" s="4" t="str">
        <f t="shared" si="41"/>
        <v/>
      </c>
    </row>
    <row r="341" spans="1:19" x14ac:dyDescent="0.35">
      <c r="A341" s="54"/>
      <c r="B341" s="57"/>
      <c r="C341" s="60"/>
      <c r="D341" s="66" t="str">
        <f t="shared" si="35"/>
        <v/>
      </c>
      <c r="E341" s="64" t="str">
        <f>IF(OR(C341="",A341=""),"",IF(A341&lt;'Page de garde'!$G$7,IF(VALUE(RIGHT(C341,2))&lt;50,66,86),INDEX(EC!$C$2:$C$677,MATCH(C341,EC,0))))</f>
        <v/>
      </c>
      <c r="F341" s="33" t="str">
        <f t="shared" si="36"/>
        <v/>
      </c>
      <c r="G341" s="38"/>
      <c r="H341" s="38"/>
      <c r="I341" s="38"/>
      <c r="J341" s="36"/>
      <c r="K341" s="29"/>
      <c r="L341" s="29"/>
      <c r="M341" s="31"/>
      <c r="N341" s="40">
        <f t="shared" si="37"/>
        <v>0</v>
      </c>
      <c r="P341" s="4" t="str">
        <f t="shared" si="38"/>
        <v/>
      </c>
      <c r="Q341" s="4" t="str">
        <f t="shared" si="39"/>
        <v/>
      </c>
      <c r="R341" s="4" t="str">
        <f t="shared" si="40"/>
        <v>/</v>
      </c>
      <c r="S341" s="4" t="str">
        <f t="shared" si="41"/>
        <v/>
      </c>
    </row>
    <row r="342" spans="1:19" x14ac:dyDescent="0.35">
      <c r="A342" s="54"/>
      <c r="B342" s="57"/>
      <c r="C342" s="60"/>
      <c r="D342" s="66" t="str">
        <f t="shared" si="35"/>
        <v/>
      </c>
      <c r="E342" s="64" t="str">
        <f>IF(OR(C342="",A342=""),"",IF(A342&lt;'Page de garde'!$G$7,IF(VALUE(RIGHT(C342,2))&lt;50,66,86),INDEX(EC!$C$2:$C$677,MATCH(C342,EC,0))))</f>
        <v/>
      </c>
      <c r="F342" s="33" t="str">
        <f t="shared" si="36"/>
        <v/>
      </c>
      <c r="G342" s="38"/>
      <c r="H342" s="38"/>
      <c r="I342" s="38"/>
      <c r="J342" s="36"/>
      <c r="K342" s="29"/>
      <c r="L342" s="29"/>
      <c r="M342" s="31"/>
      <c r="N342" s="40">
        <f t="shared" si="37"/>
        <v>0</v>
      </c>
      <c r="P342" s="4" t="str">
        <f t="shared" si="38"/>
        <v/>
      </c>
      <c r="Q342" s="4" t="str">
        <f t="shared" si="39"/>
        <v/>
      </c>
      <c r="R342" s="4" t="str">
        <f t="shared" si="40"/>
        <v>/</v>
      </c>
      <c r="S342" s="4" t="str">
        <f t="shared" si="41"/>
        <v/>
      </c>
    </row>
    <row r="343" spans="1:19" x14ac:dyDescent="0.35">
      <c r="A343" s="54"/>
      <c r="B343" s="57"/>
      <c r="C343" s="60"/>
      <c r="D343" s="66" t="str">
        <f t="shared" si="35"/>
        <v/>
      </c>
      <c r="E343" s="64" t="str">
        <f>IF(OR(C343="",A343=""),"",IF(A343&lt;'Page de garde'!$G$7,IF(VALUE(RIGHT(C343,2))&lt;50,66,86),INDEX(EC!$C$2:$C$677,MATCH(C343,EC,0))))</f>
        <v/>
      </c>
      <c r="F343" s="33" t="str">
        <f t="shared" si="36"/>
        <v/>
      </c>
      <c r="G343" s="38"/>
      <c r="H343" s="38"/>
      <c r="I343" s="38"/>
      <c r="J343" s="36"/>
      <c r="K343" s="29"/>
      <c r="L343" s="29"/>
      <c r="M343" s="31"/>
      <c r="N343" s="40">
        <f t="shared" si="37"/>
        <v>0</v>
      </c>
      <c r="P343" s="4" t="str">
        <f t="shared" si="38"/>
        <v/>
      </c>
      <c r="Q343" s="4" t="str">
        <f t="shared" si="39"/>
        <v/>
      </c>
      <c r="R343" s="4" t="str">
        <f t="shared" si="40"/>
        <v>/</v>
      </c>
      <c r="S343" s="4" t="str">
        <f t="shared" si="41"/>
        <v/>
      </c>
    </row>
    <row r="344" spans="1:19" x14ac:dyDescent="0.35">
      <c r="A344" s="54"/>
      <c r="B344" s="57"/>
      <c r="C344" s="60"/>
      <c r="D344" s="66" t="str">
        <f t="shared" si="35"/>
        <v/>
      </c>
      <c r="E344" s="64" t="str">
        <f>IF(OR(C344="",A344=""),"",IF(A344&lt;'Page de garde'!$G$7,IF(VALUE(RIGHT(C344,2))&lt;50,66,86),INDEX(EC!$C$2:$C$677,MATCH(C344,EC,0))))</f>
        <v/>
      </c>
      <c r="F344" s="33" t="str">
        <f t="shared" si="36"/>
        <v/>
      </c>
      <c r="G344" s="38"/>
      <c r="H344" s="38"/>
      <c r="I344" s="38"/>
      <c r="J344" s="36"/>
      <c r="K344" s="29"/>
      <c r="L344" s="29"/>
      <c r="M344" s="31"/>
      <c r="N344" s="40">
        <f t="shared" si="37"/>
        <v>0</v>
      </c>
      <c r="P344" s="4" t="str">
        <f t="shared" si="38"/>
        <v/>
      </c>
      <c r="Q344" s="4" t="str">
        <f t="shared" si="39"/>
        <v/>
      </c>
      <c r="R344" s="4" t="str">
        <f t="shared" si="40"/>
        <v>/</v>
      </c>
      <c r="S344" s="4" t="str">
        <f t="shared" si="41"/>
        <v/>
      </c>
    </row>
    <row r="345" spans="1:19" x14ac:dyDescent="0.35">
      <c r="A345" s="54"/>
      <c r="B345" s="57"/>
      <c r="C345" s="60"/>
      <c r="D345" s="66" t="str">
        <f t="shared" si="35"/>
        <v/>
      </c>
      <c r="E345" s="64" t="str">
        <f>IF(OR(C345="",A345=""),"",IF(A345&lt;'Page de garde'!$G$7,IF(VALUE(RIGHT(C345,2))&lt;50,66,86),INDEX(EC!$C$2:$C$677,MATCH(C345,EC,0))))</f>
        <v/>
      </c>
      <c r="F345" s="33" t="str">
        <f t="shared" si="36"/>
        <v/>
      </c>
      <c r="G345" s="38"/>
      <c r="H345" s="38"/>
      <c r="I345" s="38"/>
      <c r="J345" s="36"/>
      <c r="K345" s="29"/>
      <c r="L345" s="29"/>
      <c r="M345" s="31"/>
      <c r="N345" s="40">
        <f t="shared" si="37"/>
        <v>0</v>
      </c>
      <c r="P345" s="4" t="str">
        <f t="shared" si="38"/>
        <v/>
      </c>
      <c r="Q345" s="4" t="str">
        <f t="shared" si="39"/>
        <v/>
      </c>
      <c r="R345" s="4" t="str">
        <f t="shared" si="40"/>
        <v>/</v>
      </c>
      <c r="S345" s="4" t="str">
        <f t="shared" si="41"/>
        <v/>
      </c>
    </row>
    <row r="346" spans="1:19" x14ac:dyDescent="0.35">
      <c r="A346" s="54"/>
      <c r="B346" s="57"/>
      <c r="C346" s="60"/>
      <c r="D346" s="66" t="str">
        <f t="shared" si="35"/>
        <v/>
      </c>
      <c r="E346" s="64" t="str">
        <f>IF(OR(C346="",A346=""),"",IF(A346&lt;'Page de garde'!$G$7,IF(VALUE(RIGHT(C346,2))&lt;50,66,86),INDEX(EC!$C$2:$C$677,MATCH(C346,EC,0))))</f>
        <v/>
      </c>
      <c r="F346" s="33" t="str">
        <f t="shared" si="36"/>
        <v/>
      </c>
      <c r="G346" s="38"/>
      <c r="H346" s="38"/>
      <c r="I346" s="38"/>
      <c r="J346" s="36"/>
      <c r="K346" s="29"/>
      <c r="L346" s="29"/>
      <c r="M346" s="31"/>
      <c r="N346" s="40">
        <f t="shared" si="37"/>
        <v>0</v>
      </c>
      <c r="P346" s="4" t="str">
        <f t="shared" si="38"/>
        <v/>
      </c>
      <c r="Q346" s="4" t="str">
        <f t="shared" si="39"/>
        <v/>
      </c>
      <c r="R346" s="4" t="str">
        <f t="shared" si="40"/>
        <v>/</v>
      </c>
      <c r="S346" s="4" t="str">
        <f t="shared" si="41"/>
        <v/>
      </c>
    </row>
    <row r="347" spans="1:19" x14ac:dyDescent="0.35">
      <c r="A347" s="54"/>
      <c r="B347" s="57"/>
      <c r="C347" s="60"/>
      <c r="D347" s="66" t="str">
        <f t="shared" si="35"/>
        <v/>
      </c>
      <c r="E347" s="64" t="str">
        <f>IF(OR(C347="",A347=""),"",IF(A347&lt;'Page de garde'!$G$7,IF(VALUE(RIGHT(C347,2))&lt;50,66,86),INDEX(EC!$C$2:$C$677,MATCH(C347,EC,0))))</f>
        <v/>
      </c>
      <c r="F347" s="33" t="str">
        <f t="shared" si="36"/>
        <v/>
      </c>
      <c r="G347" s="38"/>
      <c r="H347" s="38"/>
      <c r="I347" s="38"/>
      <c r="J347" s="36"/>
      <c r="K347" s="29"/>
      <c r="L347" s="29"/>
      <c r="M347" s="31"/>
      <c r="N347" s="40">
        <f t="shared" si="37"/>
        <v>0</v>
      </c>
      <c r="P347" s="4" t="str">
        <f t="shared" si="38"/>
        <v/>
      </c>
      <c r="Q347" s="4" t="str">
        <f t="shared" si="39"/>
        <v/>
      </c>
      <c r="R347" s="4" t="str">
        <f t="shared" si="40"/>
        <v>/</v>
      </c>
      <c r="S347" s="4" t="str">
        <f t="shared" si="41"/>
        <v/>
      </c>
    </row>
    <row r="348" spans="1:19" x14ac:dyDescent="0.35">
      <c r="A348" s="54"/>
      <c r="B348" s="57"/>
      <c r="C348" s="60"/>
      <c r="D348" s="66" t="str">
        <f t="shared" si="35"/>
        <v/>
      </c>
      <c r="E348" s="64" t="str">
        <f>IF(OR(C348="",A348=""),"",IF(A348&lt;'Page de garde'!$G$7,IF(VALUE(RIGHT(C348,2))&lt;50,66,86),INDEX(EC!$C$2:$C$677,MATCH(C348,EC,0))))</f>
        <v/>
      </c>
      <c r="F348" s="33" t="str">
        <f t="shared" si="36"/>
        <v/>
      </c>
      <c r="G348" s="38"/>
      <c r="H348" s="38"/>
      <c r="I348" s="38"/>
      <c r="J348" s="36"/>
      <c r="K348" s="29"/>
      <c r="L348" s="29"/>
      <c r="M348" s="31"/>
      <c r="N348" s="40">
        <f t="shared" si="37"/>
        <v>0</v>
      </c>
      <c r="P348" s="4" t="str">
        <f t="shared" si="38"/>
        <v/>
      </c>
      <c r="Q348" s="4" t="str">
        <f t="shared" si="39"/>
        <v/>
      </c>
      <c r="R348" s="4" t="str">
        <f t="shared" si="40"/>
        <v>/</v>
      </c>
      <c r="S348" s="4" t="str">
        <f t="shared" si="41"/>
        <v/>
      </c>
    </row>
    <row r="349" spans="1:19" x14ac:dyDescent="0.35">
      <c r="A349" s="54"/>
      <c r="B349" s="57"/>
      <c r="C349" s="60"/>
      <c r="D349" s="66" t="str">
        <f t="shared" si="35"/>
        <v/>
      </c>
      <c r="E349" s="64" t="str">
        <f>IF(OR(C349="",A349=""),"",IF(A349&lt;'Page de garde'!$G$7,IF(VALUE(RIGHT(C349,2))&lt;50,66,86),INDEX(EC!$C$2:$C$677,MATCH(C349,EC,0))))</f>
        <v/>
      </c>
      <c r="F349" s="33" t="str">
        <f t="shared" si="36"/>
        <v/>
      </c>
      <c r="G349" s="38"/>
      <c r="H349" s="38"/>
      <c r="I349" s="38"/>
      <c r="J349" s="36"/>
      <c r="K349" s="29"/>
      <c r="L349" s="29"/>
      <c r="M349" s="31"/>
      <c r="N349" s="40">
        <f t="shared" si="37"/>
        <v>0</v>
      </c>
      <c r="P349" s="4" t="str">
        <f t="shared" si="38"/>
        <v/>
      </c>
      <c r="Q349" s="4" t="str">
        <f t="shared" si="39"/>
        <v/>
      </c>
      <c r="R349" s="4" t="str">
        <f t="shared" si="40"/>
        <v>/</v>
      </c>
      <c r="S349" s="4" t="str">
        <f t="shared" si="41"/>
        <v/>
      </c>
    </row>
    <row r="350" spans="1:19" x14ac:dyDescent="0.35">
      <c r="A350" s="54"/>
      <c r="B350" s="57"/>
      <c r="C350" s="60"/>
      <c r="D350" s="66" t="str">
        <f t="shared" si="35"/>
        <v/>
      </c>
      <c r="E350" s="64" t="str">
        <f>IF(OR(C350="",A350=""),"",IF(A350&lt;'Page de garde'!$G$7,IF(VALUE(RIGHT(C350,2))&lt;50,66,86),INDEX(EC!$C$2:$C$677,MATCH(C350,EC,0))))</f>
        <v/>
      </c>
      <c r="F350" s="33" t="str">
        <f t="shared" si="36"/>
        <v/>
      </c>
      <c r="G350" s="38"/>
      <c r="H350" s="38"/>
      <c r="I350" s="38"/>
      <c r="J350" s="36"/>
      <c r="K350" s="29"/>
      <c r="L350" s="29"/>
      <c r="M350" s="31"/>
      <c r="N350" s="40">
        <f t="shared" si="37"/>
        <v>0</v>
      </c>
      <c r="P350" s="4" t="str">
        <f t="shared" si="38"/>
        <v/>
      </c>
      <c r="Q350" s="4" t="str">
        <f t="shared" si="39"/>
        <v/>
      </c>
      <c r="R350" s="4" t="str">
        <f t="shared" si="40"/>
        <v>/</v>
      </c>
      <c r="S350" s="4" t="str">
        <f t="shared" si="41"/>
        <v/>
      </c>
    </row>
    <row r="351" spans="1:19" x14ac:dyDescent="0.35">
      <c r="A351" s="54"/>
      <c r="B351" s="57"/>
      <c r="C351" s="60"/>
      <c r="D351" s="66" t="str">
        <f t="shared" si="35"/>
        <v/>
      </c>
      <c r="E351" s="64" t="str">
        <f>IF(OR(C351="",A351=""),"",IF(A351&lt;'Page de garde'!$G$7,IF(VALUE(RIGHT(C351,2))&lt;50,66,86),INDEX(EC!$C$2:$C$677,MATCH(C351,EC,0))))</f>
        <v/>
      </c>
      <c r="F351" s="33" t="str">
        <f t="shared" si="36"/>
        <v/>
      </c>
      <c r="G351" s="38"/>
      <c r="H351" s="38"/>
      <c r="I351" s="38"/>
      <c r="J351" s="36"/>
      <c r="K351" s="29"/>
      <c r="L351" s="29"/>
      <c r="M351" s="31"/>
      <c r="N351" s="40">
        <f t="shared" si="37"/>
        <v>0</v>
      </c>
      <c r="P351" s="4" t="str">
        <f t="shared" si="38"/>
        <v/>
      </c>
      <c r="Q351" s="4" t="str">
        <f t="shared" si="39"/>
        <v/>
      </c>
      <c r="R351" s="4" t="str">
        <f t="shared" si="40"/>
        <v>/</v>
      </c>
      <c r="S351" s="4" t="str">
        <f t="shared" si="41"/>
        <v/>
      </c>
    </row>
    <row r="352" spans="1:19" x14ac:dyDescent="0.35">
      <c r="A352" s="54"/>
      <c r="B352" s="57"/>
      <c r="C352" s="60"/>
      <c r="D352" s="66" t="str">
        <f t="shared" si="35"/>
        <v/>
      </c>
      <c r="E352" s="64" t="str">
        <f>IF(OR(C352="",A352=""),"",IF(A352&lt;'Page de garde'!$G$7,IF(VALUE(RIGHT(C352,2))&lt;50,66,86),INDEX(EC!$C$2:$C$677,MATCH(C352,EC,0))))</f>
        <v/>
      </c>
      <c r="F352" s="33" t="str">
        <f t="shared" si="36"/>
        <v/>
      </c>
      <c r="G352" s="38"/>
      <c r="H352" s="38"/>
      <c r="I352" s="38"/>
      <c r="J352" s="36"/>
      <c r="K352" s="29"/>
      <c r="L352" s="29"/>
      <c r="M352" s="31"/>
      <c r="N352" s="40">
        <f t="shared" si="37"/>
        <v>0</v>
      </c>
      <c r="P352" s="4" t="str">
        <f t="shared" si="38"/>
        <v/>
      </c>
      <c r="Q352" s="4" t="str">
        <f t="shared" si="39"/>
        <v/>
      </c>
      <c r="R352" s="4" t="str">
        <f t="shared" si="40"/>
        <v>/</v>
      </c>
      <c r="S352" s="4" t="str">
        <f t="shared" si="41"/>
        <v/>
      </c>
    </row>
    <row r="353" spans="1:19" x14ac:dyDescent="0.35">
      <c r="A353" s="54"/>
      <c r="B353" s="57"/>
      <c r="C353" s="60"/>
      <c r="D353" s="66" t="str">
        <f t="shared" si="35"/>
        <v/>
      </c>
      <c r="E353" s="64" t="str">
        <f>IF(OR(C353="",A353=""),"",IF(A353&lt;'Page de garde'!$G$7,IF(VALUE(RIGHT(C353,2))&lt;50,66,86),INDEX(EC!$C$2:$C$677,MATCH(C353,EC,0))))</f>
        <v/>
      </c>
      <c r="F353" s="33" t="str">
        <f t="shared" si="36"/>
        <v/>
      </c>
      <c r="G353" s="38"/>
      <c r="H353" s="38"/>
      <c r="I353" s="38"/>
      <c r="J353" s="36"/>
      <c r="K353" s="29"/>
      <c r="L353" s="29"/>
      <c r="M353" s="31"/>
      <c r="N353" s="40">
        <f t="shared" si="37"/>
        <v>0</v>
      </c>
      <c r="P353" s="4" t="str">
        <f t="shared" si="38"/>
        <v/>
      </c>
      <c r="Q353" s="4" t="str">
        <f t="shared" si="39"/>
        <v/>
      </c>
      <c r="R353" s="4" t="str">
        <f t="shared" si="40"/>
        <v>/</v>
      </c>
      <c r="S353" s="4" t="str">
        <f t="shared" si="41"/>
        <v/>
      </c>
    </row>
    <row r="354" spans="1:19" x14ac:dyDescent="0.35">
      <c r="A354" s="54"/>
      <c r="B354" s="57"/>
      <c r="C354" s="60"/>
      <c r="D354" s="66" t="str">
        <f t="shared" si="35"/>
        <v/>
      </c>
      <c r="E354" s="64" t="str">
        <f>IF(OR(C354="",A354=""),"",IF(A354&lt;'Page de garde'!$G$7,IF(VALUE(RIGHT(C354,2))&lt;50,66,86),INDEX(EC!$C$2:$C$677,MATCH(C354,EC,0))))</f>
        <v/>
      </c>
      <c r="F354" s="33" t="str">
        <f t="shared" si="36"/>
        <v/>
      </c>
      <c r="G354" s="38"/>
      <c r="H354" s="38"/>
      <c r="I354" s="38"/>
      <c r="J354" s="36"/>
      <c r="K354" s="29"/>
      <c r="L354" s="29"/>
      <c r="M354" s="31"/>
      <c r="N354" s="40">
        <f t="shared" si="37"/>
        <v>0</v>
      </c>
      <c r="P354" s="4" t="str">
        <f t="shared" si="38"/>
        <v/>
      </c>
      <c r="Q354" s="4" t="str">
        <f t="shared" si="39"/>
        <v/>
      </c>
      <c r="R354" s="4" t="str">
        <f t="shared" si="40"/>
        <v>/</v>
      </c>
      <c r="S354" s="4" t="str">
        <f t="shared" si="41"/>
        <v/>
      </c>
    </row>
    <row r="355" spans="1:19" x14ac:dyDescent="0.35">
      <c r="A355" s="54"/>
      <c r="B355" s="57"/>
      <c r="C355" s="60"/>
      <c r="D355" s="66" t="str">
        <f t="shared" si="35"/>
        <v/>
      </c>
      <c r="E355" s="64" t="str">
        <f>IF(OR(C355="",A355=""),"",IF(A355&lt;'Page de garde'!$G$7,IF(VALUE(RIGHT(C355,2))&lt;50,66,86),INDEX(EC!$C$2:$C$677,MATCH(C355,EC,0))))</f>
        <v/>
      </c>
      <c r="F355" s="33" t="str">
        <f t="shared" si="36"/>
        <v/>
      </c>
      <c r="G355" s="38"/>
      <c r="H355" s="38"/>
      <c r="I355" s="38"/>
      <c r="J355" s="36"/>
      <c r="K355" s="29"/>
      <c r="L355" s="29"/>
      <c r="M355" s="31"/>
      <c r="N355" s="40">
        <f t="shared" si="37"/>
        <v>0</v>
      </c>
      <c r="P355" s="4" t="str">
        <f t="shared" si="38"/>
        <v/>
      </c>
      <c r="Q355" s="4" t="str">
        <f t="shared" si="39"/>
        <v/>
      </c>
      <c r="R355" s="4" t="str">
        <f t="shared" si="40"/>
        <v>/</v>
      </c>
      <c r="S355" s="4" t="str">
        <f t="shared" si="41"/>
        <v/>
      </c>
    </row>
    <row r="356" spans="1:19" x14ac:dyDescent="0.35">
      <c r="A356" s="54"/>
      <c r="B356" s="57"/>
      <c r="C356" s="60"/>
      <c r="D356" s="66" t="str">
        <f t="shared" si="35"/>
        <v/>
      </c>
      <c r="E356" s="64" t="str">
        <f>IF(OR(C356="",A356=""),"",IF(A356&lt;'Page de garde'!$G$7,IF(VALUE(RIGHT(C356,2))&lt;50,66,86),INDEX(EC!$C$2:$C$677,MATCH(C356,EC,0))))</f>
        <v/>
      </c>
      <c r="F356" s="33" t="str">
        <f t="shared" si="36"/>
        <v/>
      </c>
      <c r="G356" s="38"/>
      <c r="H356" s="38"/>
      <c r="I356" s="38"/>
      <c r="J356" s="36"/>
      <c r="K356" s="29"/>
      <c r="L356" s="29"/>
      <c r="M356" s="31"/>
      <c r="N356" s="40">
        <f t="shared" si="37"/>
        <v>0</v>
      </c>
      <c r="P356" s="4" t="str">
        <f t="shared" si="38"/>
        <v/>
      </c>
      <c r="Q356" s="4" t="str">
        <f t="shared" si="39"/>
        <v/>
      </c>
      <c r="R356" s="4" t="str">
        <f t="shared" si="40"/>
        <v>/</v>
      </c>
      <c r="S356" s="4" t="str">
        <f t="shared" si="41"/>
        <v/>
      </c>
    </row>
    <row r="357" spans="1:19" x14ac:dyDescent="0.35">
      <c r="A357" s="54"/>
      <c r="B357" s="57"/>
      <c r="C357" s="60"/>
      <c r="D357" s="66" t="str">
        <f t="shared" si="35"/>
        <v/>
      </c>
      <c r="E357" s="64" t="str">
        <f>IF(OR(C357="",A357=""),"",IF(A357&lt;'Page de garde'!$G$7,IF(VALUE(RIGHT(C357,2))&lt;50,66,86),INDEX(EC!$C$2:$C$677,MATCH(C357,EC,0))))</f>
        <v/>
      </c>
      <c r="F357" s="33" t="str">
        <f t="shared" si="36"/>
        <v/>
      </c>
      <c r="G357" s="38"/>
      <c r="H357" s="38"/>
      <c r="I357" s="38"/>
      <c r="J357" s="36"/>
      <c r="K357" s="29"/>
      <c r="L357" s="29"/>
      <c r="M357" s="31"/>
      <c r="N357" s="40">
        <f t="shared" si="37"/>
        <v>0</v>
      </c>
      <c r="P357" s="4" t="str">
        <f t="shared" si="38"/>
        <v/>
      </c>
      <c r="Q357" s="4" t="str">
        <f t="shared" si="39"/>
        <v/>
      </c>
      <c r="R357" s="4" t="str">
        <f t="shared" si="40"/>
        <v>/</v>
      </c>
      <c r="S357" s="4" t="str">
        <f t="shared" si="41"/>
        <v/>
      </c>
    </row>
    <row r="358" spans="1:19" x14ac:dyDescent="0.35">
      <c r="A358" s="54"/>
      <c r="B358" s="57"/>
      <c r="C358" s="60"/>
      <c r="D358" s="66" t="str">
        <f t="shared" si="35"/>
        <v/>
      </c>
      <c r="E358" s="64" t="str">
        <f>IF(OR(C358="",A358=""),"",IF(A358&lt;'Page de garde'!$G$7,IF(VALUE(RIGHT(C358,2))&lt;50,66,86),INDEX(EC!$C$2:$C$677,MATCH(C358,EC,0))))</f>
        <v/>
      </c>
      <c r="F358" s="33" t="str">
        <f t="shared" si="36"/>
        <v/>
      </c>
      <c r="G358" s="38"/>
      <c r="H358" s="38"/>
      <c r="I358" s="38"/>
      <c r="J358" s="36"/>
      <c r="K358" s="29"/>
      <c r="L358" s="29"/>
      <c r="M358" s="31"/>
      <c r="N358" s="40">
        <f t="shared" si="37"/>
        <v>0</v>
      </c>
      <c r="P358" s="4" t="str">
        <f t="shared" si="38"/>
        <v/>
      </c>
      <c r="Q358" s="4" t="str">
        <f t="shared" si="39"/>
        <v/>
      </c>
      <c r="R358" s="4" t="str">
        <f t="shared" si="40"/>
        <v>/</v>
      </c>
      <c r="S358" s="4" t="str">
        <f t="shared" si="41"/>
        <v/>
      </c>
    </row>
    <row r="359" spans="1:19" x14ac:dyDescent="0.35">
      <c r="A359" s="54"/>
      <c r="B359" s="57"/>
      <c r="C359" s="60"/>
      <c r="D359" s="66" t="str">
        <f t="shared" si="35"/>
        <v/>
      </c>
      <c r="E359" s="64" t="str">
        <f>IF(OR(C359="",A359=""),"",IF(A359&lt;'Page de garde'!$G$7,IF(VALUE(RIGHT(C359,2))&lt;50,66,86),INDEX(EC!$C$2:$C$677,MATCH(C359,EC,0))))</f>
        <v/>
      </c>
      <c r="F359" s="33" t="str">
        <f t="shared" si="36"/>
        <v/>
      </c>
      <c r="G359" s="38"/>
      <c r="H359" s="38"/>
      <c r="I359" s="38"/>
      <c r="J359" s="36"/>
      <c r="K359" s="29"/>
      <c r="L359" s="29"/>
      <c r="M359" s="31"/>
      <c r="N359" s="40">
        <f t="shared" si="37"/>
        <v>0</v>
      </c>
      <c r="P359" s="4" t="str">
        <f t="shared" si="38"/>
        <v/>
      </c>
      <c r="Q359" s="4" t="str">
        <f t="shared" si="39"/>
        <v/>
      </c>
      <c r="R359" s="4" t="str">
        <f t="shared" si="40"/>
        <v>/</v>
      </c>
      <c r="S359" s="4" t="str">
        <f t="shared" si="41"/>
        <v/>
      </c>
    </row>
    <row r="360" spans="1:19" x14ac:dyDescent="0.35">
      <c r="A360" s="54"/>
      <c r="B360" s="57"/>
      <c r="C360" s="60"/>
      <c r="D360" s="66" t="str">
        <f t="shared" si="35"/>
        <v/>
      </c>
      <c r="E360" s="64" t="str">
        <f>IF(OR(C360="",A360=""),"",IF(A360&lt;'Page de garde'!$G$7,IF(VALUE(RIGHT(C360,2))&lt;50,66,86),INDEX(EC!$C$2:$C$677,MATCH(C360,EC,0))))</f>
        <v/>
      </c>
      <c r="F360" s="33" t="str">
        <f t="shared" si="36"/>
        <v/>
      </c>
      <c r="G360" s="38"/>
      <c r="H360" s="38"/>
      <c r="I360" s="38"/>
      <c r="J360" s="36"/>
      <c r="K360" s="29"/>
      <c r="L360" s="29"/>
      <c r="M360" s="31"/>
      <c r="N360" s="40">
        <f t="shared" si="37"/>
        <v>0</v>
      </c>
      <c r="P360" s="4" t="str">
        <f t="shared" si="38"/>
        <v/>
      </c>
      <c r="Q360" s="4" t="str">
        <f t="shared" si="39"/>
        <v/>
      </c>
      <c r="R360" s="4" t="str">
        <f t="shared" si="40"/>
        <v>/</v>
      </c>
      <c r="S360" s="4" t="str">
        <f t="shared" si="41"/>
        <v/>
      </c>
    </row>
    <row r="361" spans="1:19" x14ac:dyDescent="0.35">
      <c r="A361" s="54"/>
      <c r="B361" s="57"/>
      <c r="C361" s="60"/>
      <c r="D361" s="66" t="str">
        <f t="shared" si="35"/>
        <v/>
      </c>
      <c r="E361" s="64" t="str">
        <f>IF(OR(C361="",A361=""),"",IF(A361&lt;'Page de garde'!$G$7,IF(VALUE(RIGHT(C361,2))&lt;50,66,86),INDEX(EC!$C$2:$C$677,MATCH(C361,EC,0))))</f>
        <v/>
      </c>
      <c r="F361" s="33" t="str">
        <f t="shared" si="36"/>
        <v/>
      </c>
      <c r="G361" s="38"/>
      <c r="H361" s="38"/>
      <c r="I361" s="38"/>
      <c r="J361" s="36"/>
      <c r="K361" s="29"/>
      <c r="L361" s="29"/>
      <c r="M361" s="31"/>
      <c r="N361" s="40">
        <f t="shared" si="37"/>
        <v>0</v>
      </c>
      <c r="P361" s="4" t="str">
        <f t="shared" si="38"/>
        <v/>
      </c>
      <c r="Q361" s="4" t="str">
        <f t="shared" si="39"/>
        <v/>
      </c>
      <c r="R361" s="4" t="str">
        <f t="shared" si="40"/>
        <v>/</v>
      </c>
      <c r="S361" s="4" t="str">
        <f t="shared" si="41"/>
        <v/>
      </c>
    </row>
    <row r="362" spans="1:19" x14ac:dyDescent="0.35">
      <c r="A362" s="54"/>
      <c r="B362" s="57"/>
      <c r="C362" s="60"/>
      <c r="D362" s="66" t="str">
        <f t="shared" si="35"/>
        <v/>
      </c>
      <c r="E362" s="64" t="str">
        <f>IF(OR(C362="",A362=""),"",IF(A362&lt;'Page de garde'!$G$7,IF(VALUE(RIGHT(C362,2))&lt;50,66,86),INDEX(EC!$C$2:$C$677,MATCH(C362,EC,0))))</f>
        <v/>
      </c>
      <c r="F362" s="33" t="str">
        <f t="shared" si="36"/>
        <v/>
      </c>
      <c r="G362" s="38"/>
      <c r="H362" s="38"/>
      <c r="I362" s="38"/>
      <c r="J362" s="36"/>
      <c r="K362" s="29"/>
      <c r="L362" s="29"/>
      <c r="M362" s="31"/>
      <c r="N362" s="40">
        <f t="shared" si="37"/>
        <v>0</v>
      </c>
      <c r="P362" s="4" t="str">
        <f t="shared" si="38"/>
        <v/>
      </c>
      <c r="Q362" s="4" t="str">
        <f t="shared" si="39"/>
        <v/>
      </c>
      <c r="R362" s="4" t="str">
        <f t="shared" si="40"/>
        <v>/</v>
      </c>
      <c r="S362" s="4" t="str">
        <f t="shared" si="41"/>
        <v/>
      </c>
    </row>
    <row r="363" spans="1:19" x14ac:dyDescent="0.35">
      <c r="A363" s="54"/>
      <c r="B363" s="57"/>
      <c r="C363" s="60"/>
      <c r="D363" s="66" t="str">
        <f t="shared" si="35"/>
        <v/>
      </c>
      <c r="E363" s="64" t="str">
        <f>IF(OR(C363="",A363=""),"",IF(A363&lt;'Page de garde'!$G$7,IF(VALUE(RIGHT(C363,2))&lt;50,66,86),INDEX(EC!$C$2:$C$677,MATCH(C363,EC,0))))</f>
        <v/>
      </c>
      <c r="F363" s="33" t="str">
        <f t="shared" si="36"/>
        <v/>
      </c>
      <c r="G363" s="38"/>
      <c r="H363" s="38"/>
      <c r="I363" s="38"/>
      <c r="J363" s="36"/>
      <c r="K363" s="29"/>
      <c r="L363" s="29"/>
      <c r="M363" s="31"/>
      <c r="N363" s="40">
        <f t="shared" si="37"/>
        <v>0</v>
      </c>
      <c r="P363" s="4" t="str">
        <f t="shared" si="38"/>
        <v/>
      </c>
      <c r="Q363" s="4" t="str">
        <f t="shared" si="39"/>
        <v/>
      </c>
      <c r="R363" s="4" t="str">
        <f t="shared" si="40"/>
        <v>/</v>
      </c>
      <c r="S363" s="4" t="str">
        <f t="shared" si="41"/>
        <v/>
      </c>
    </row>
    <row r="364" spans="1:19" x14ac:dyDescent="0.35">
      <c r="A364" s="54"/>
      <c r="B364" s="57"/>
      <c r="C364" s="60"/>
      <c r="D364" s="66" t="str">
        <f t="shared" si="35"/>
        <v/>
      </c>
      <c r="E364" s="64" t="str">
        <f>IF(OR(C364="",A364=""),"",IF(A364&lt;'Page de garde'!$G$7,IF(VALUE(RIGHT(C364,2))&lt;50,66,86),INDEX(EC!$C$2:$C$677,MATCH(C364,EC,0))))</f>
        <v/>
      </c>
      <c r="F364" s="33" t="str">
        <f t="shared" si="36"/>
        <v/>
      </c>
      <c r="G364" s="38"/>
      <c r="H364" s="38"/>
      <c r="I364" s="38"/>
      <c r="J364" s="36"/>
      <c r="K364" s="29"/>
      <c r="L364" s="29"/>
      <c r="M364" s="31"/>
      <c r="N364" s="40">
        <f t="shared" si="37"/>
        <v>0</v>
      </c>
      <c r="P364" s="4" t="str">
        <f t="shared" si="38"/>
        <v/>
      </c>
      <c r="Q364" s="4" t="str">
        <f t="shared" si="39"/>
        <v/>
      </c>
      <c r="R364" s="4" t="str">
        <f t="shared" si="40"/>
        <v>/</v>
      </c>
      <c r="S364" s="4" t="str">
        <f t="shared" si="41"/>
        <v/>
      </c>
    </row>
    <row r="365" spans="1:19" x14ac:dyDescent="0.35">
      <c r="A365" s="54"/>
      <c r="B365" s="57"/>
      <c r="C365" s="60"/>
      <c r="D365" s="66" t="str">
        <f t="shared" si="35"/>
        <v/>
      </c>
      <c r="E365" s="64" t="str">
        <f>IF(OR(C365="",A365=""),"",IF(A365&lt;'Page de garde'!$G$7,IF(VALUE(RIGHT(C365,2))&lt;50,66,86),INDEX(EC!$C$2:$C$677,MATCH(C365,EC,0))))</f>
        <v/>
      </c>
      <c r="F365" s="33" t="str">
        <f t="shared" si="36"/>
        <v/>
      </c>
      <c r="G365" s="38"/>
      <c r="H365" s="38"/>
      <c r="I365" s="38"/>
      <c r="J365" s="36"/>
      <c r="K365" s="29"/>
      <c r="L365" s="29"/>
      <c r="M365" s="31"/>
      <c r="N365" s="40">
        <f t="shared" si="37"/>
        <v>0</v>
      </c>
      <c r="P365" s="4" t="str">
        <f t="shared" si="38"/>
        <v/>
      </c>
      <c r="Q365" s="4" t="str">
        <f t="shared" si="39"/>
        <v/>
      </c>
      <c r="R365" s="4" t="str">
        <f t="shared" si="40"/>
        <v>/</v>
      </c>
      <c r="S365" s="4" t="str">
        <f t="shared" si="41"/>
        <v/>
      </c>
    </row>
    <row r="366" spans="1:19" x14ac:dyDescent="0.35">
      <c r="A366" s="54"/>
      <c r="B366" s="57"/>
      <c r="C366" s="60"/>
      <c r="D366" s="66" t="str">
        <f t="shared" si="35"/>
        <v/>
      </c>
      <c r="E366" s="64" t="str">
        <f>IF(OR(C366="",A366=""),"",IF(A366&lt;'Page de garde'!$G$7,IF(VALUE(RIGHT(C366,2))&lt;50,66,86),INDEX(EC!$C$2:$C$677,MATCH(C366,EC,0))))</f>
        <v/>
      </c>
      <c r="F366" s="33" t="str">
        <f t="shared" si="36"/>
        <v/>
      </c>
      <c r="G366" s="38"/>
      <c r="H366" s="38"/>
      <c r="I366" s="38"/>
      <c r="J366" s="36"/>
      <c r="K366" s="29"/>
      <c r="L366" s="29"/>
      <c r="M366" s="31"/>
      <c r="N366" s="40">
        <f t="shared" si="37"/>
        <v>0</v>
      </c>
      <c r="P366" s="4" t="str">
        <f t="shared" si="38"/>
        <v/>
      </c>
      <c r="Q366" s="4" t="str">
        <f t="shared" si="39"/>
        <v/>
      </c>
      <c r="R366" s="4" t="str">
        <f t="shared" si="40"/>
        <v>/</v>
      </c>
      <c r="S366" s="4" t="str">
        <f t="shared" si="41"/>
        <v/>
      </c>
    </row>
    <row r="367" spans="1:19" x14ac:dyDescent="0.35">
      <c r="A367" s="54"/>
      <c r="B367" s="57"/>
      <c r="C367" s="60"/>
      <c r="D367" s="66" t="str">
        <f t="shared" si="35"/>
        <v/>
      </c>
      <c r="E367" s="64" t="str">
        <f>IF(OR(C367="",A367=""),"",IF(A367&lt;'Page de garde'!$G$7,IF(VALUE(RIGHT(C367,2))&lt;50,66,86),INDEX(EC!$C$2:$C$677,MATCH(C367,EC,0))))</f>
        <v/>
      </c>
      <c r="F367" s="33" t="str">
        <f t="shared" si="36"/>
        <v/>
      </c>
      <c r="G367" s="38"/>
      <c r="H367" s="38"/>
      <c r="I367" s="38"/>
      <c r="J367" s="36"/>
      <c r="K367" s="29"/>
      <c r="L367" s="29"/>
      <c r="M367" s="31"/>
      <c r="N367" s="40">
        <f t="shared" si="37"/>
        <v>0</v>
      </c>
      <c r="P367" s="4" t="str">
        <f t="shared" si="38"/>
        <v/>
      </c>
      <c r="Q367" s="4" t="str">
        <f t="shared" si="39"/>
        <v/>
      </c>
      <c r="R367" s="4" t="str">
        <f t="shared" si="40"/>
        <v>/</v>
      </c>
      <c r="S367" s="4" t="str">
        <f t="shared" si="41"/>
        <v/>
      </c>
    </row>
    <row r="368" spans="1:19" x14ac:dyDescent="0.35">
      <c r="A368" s="54"/>
      <c r="B368" s="57"/>
      <c r="C368" s="60"/>
      <c r="D368" s="66" t="str">
        <f t="shared" si="35"/>
        <v/>
      </c>
      <c r="E368" s="64" t="str">
        <f>IF(OR(C368="",A368=""),"",IF(A368&lt;'Page de garde'!$G$7,IF(VALUE(RIGHT(C368,2))&lt;50,66,86),INDEX(EC!$C$2:$C$677,MATCH(C368,EC,0))))</f>
        <v/>
      </c>
      <c r="F368" s="33" t="str">
        <f t="shared" si="36"/>
        <v/>
      </c>
      <c r="G368" s="38"/>
      <c r="H368" s="38"/>
      <c r="I368" s="38"/>
      <c r="J368" s="36"/>
      <c r="K368" s="29"/>
      <c r="L368" s="29"/>
      <c r="M368" s="31"/>
      <c r="N368" s="40">
        <f t="shared" si="37"/>
        <v>0</v>
      </c>
      <c r="P368" s="4" t="str">
        <f t="shared" si="38"/>
        <v/>
      </c>
      <c r="Q368" s="4" t="str">
        <f t="shared" si="39"/>
        <v/>
      </c>
      <c r="R368" s="4" t="str">
        <f t="shared" si="40"/>
        <v>/</v>
      </c>
      <c r="S368" s="4" t="str">
        <f t="shared" si="41"/>
        <v/>
      </c>
    </row>
    <row r="369" spans="1:19" x14ac:dyDescent="0.35">
      <c r="A369" s="54"/>
      <c r="B369" s="57"/>
      <c r="C369" s="60"/>
      <c r="D369" s="66" t="str">
        <f t="shared" si="35"/>
        <v/>
      </c>
      <c r="E369" s="64" t="str">
        <f>IF(OR(C369="",A369=""),"",IF(A369&lt;'Page de garde'!$G$7,IF(VALUE(RIGHT(C369,2))&lt;50,66,86),INDEX(EC!$C$2:$C$677,MATCH(C369,EC,0))))</f>
        <v/>
      </c>
      <c r="F369" s="33" t="str">
        <f t="shared" si="36"/>
        <v/>
      </c>
      <c r="G369" s="38"/>
      <c r="H369" s="38"/>
      <c r="I369" s="38"/>
      <c r="J369" s="36"/>
      <c r="K369" s="29"/>
      <c r="L369" s="29"/>
      <c r="M369" s="31"/>
      <c r="N369" s="40">
        <f t="shared" si="37"/>
        <v>0</v>
      </c>
      <c r="P369" s="4" t="str">
        <f t="shared" si="38"/>
        <v/>
      </c>
      <c r="Q369" s="4" t="str">
        <f t="shared" si="39"/>
        <v/>
      </c>
      <c r="R369" s="4" t="str">
        <f t="shared" si="40"/>
        <v>/</v>
      </c>
      <c r="S369" s="4" t="str">
        <f t="shared" si="41"/>
        <v/>
      </c>
    </row>
    <row r="370" spans="1:19" x14ac:dyDescent="0.35">
      <c r="A370" s="54"/>
      <c r="B370" s="57"/>
      <c r="C370" s="60"/>
      <c r="D370" s="66" t="str">
        <f t="shared" si="35"/>
        <v/>
      </c>
      <c r="E370" s="64" t="str">
        <f>IF(OR(C370="",A370=""),"",IF(A370&lt;'Page de garde'!$G$7,IF(VALUE(RIGHT(C370,2))&lt;50,66,86),INDEX(EC!$C$2:$C$677,MATCH(C370,EC,0))))</f>
        <v/>
      </c>
      <c r="F370" s="33" t="str">
        <f t="shared" si="36"/>
        <v/>
      </c>
      <c r="G370" s="38"/>
      <c r="H370" s="38"/>
      <c r="I370" s="38"/>
      <c r="J370" s="36"/>
      <c r="K370" s="29"/>
      <c r="L370" s="29"/>
      <c r="M370" s="31"/>
      <c r="N370" s="40">
        <f t="shared" si="37"/>
        <v>0</v>
      </c>
      <c r="P370" s="4" t="str">
        <f t="shared" si="38"/>
        <v/>
      </c>
      <c r="Q370" s="4" t="str">
        <f t="shared" si="39"/>
        <v/>
      </c>
      <c r="R370" s="4" t="str">
        <f t="shared" si="40"/>
        <v>/</v>
      </c>
      <c r="S370" s="4" t="str">
        <f t="shared" si="41"/>
        <v/>
      </c>
    </row>
    <row r="371" spans="1:19" x14ac:dyDescent="0.35">
      <c r="A371" s="54"/>
      <c r="B371" s="57"/>
      <c r="C371" s="60"/>
      <c r="D371" s="66" t="str">
        <f t="shared" si="35"/>
        <v/>
      </c>
      <c r="E371" s="64" t="str">
        <f>IF(OR(C371="",A371=""),"",IF(A371&lt;'Page de garde'!$G$7,IF(VALUE(RIGHT(C371,2))&lt;50,66,86),INDEX(EC!$C$2:$C$677,MATCH(C371,EC,0))))</f>
        <v/>
      </c>
      <c r="F371" s="33" t="str">
        <f t="shared" si="36"/>
        <v/>
      </c>
      <c r="G371" s="38"/>
      <c r="H371" s="38"/>
      <c r="I371" s="38"/>
      <c r="J371" s="36"/>
      <c r="K371" s="29"/>
      <c r="L371" s="29"/>
      <c r="M371" s="31"/>
      <c r="N371" s="40">
        <f t="shared" si="37"/>
        <v>0</v>
      </c>
      <c r="P371" s="4" t="str">
        <f t="shared" si="38"/>
        <v/>
      </c>
      <c r="Q371" s="4" t="str">
        <f t="shared" si="39"/>
        <v/>
      </c>
      <c r="R371" s="4" t="str">
        <f t="shared" si="40"/>
        <v>/</v>
      </c>
      <c r="S371" s="4" t="str">
        <f t="shared" si="41"/>
        <v/>
      </c>
    </row>
    <row r="372" spans="1:19" x14ac:dyDescent="0.35">
      <c r="A372" s="54"/>
      <c r="B372" s="57"/>
      <c r="C372" s="60"/>
      <c r="D372" s="66" t="str">
        <f t="shared" si="35"/>
        <v/>
      </c>
      <c r="E372" s="64" t="str">
        <f>IF(OR(C372="",A372=""),"",IF(A372&lt;'Page de garde'!$G$7,IF(VALUE(RIGHT(C372,2))&lt;50,66,86),INDEX(EC!$C$2:$C$677,MATCH(C372,EC,0))))</f>
        <v/>
      </c>
      <c r="F372" s="33" t="str">
        <f t="shared" si="36"/>
        <v/>
      </c>
      <c r="G372" s="38"/>
      <c r="H372" s="38"/>
      <c r="I372" s="38"/>
      <c r="J372" s="36"/>
      <c r="K372" s="29"/>
      <c r="L372" s="29"/>
      <c r="M372" s="31"/>
      <c r="N372" s="40">
        <f t="shared" si="37"/>
        <v>0</v>
      </c>
      <c r="P372" s="4" t="str">
        <f t="shared" si="38"/>
        <v/>
      </c>
      <c r="Q372" s="4" t="str">
        <f t="shared" si="39"/>
        <v/>
      </c>
      <c r="R372" s="4" t="str">
        <f t="shared" si="40"/>
        <v>/</v>
      </c>
      <c r="S372" s="4" t="str">
        <f t="shared" si="41"/>
        <v/>
      </c>
    </row>
    <row r="373" spans="1:19" x14ac:dyDescent="0.35">
      <c r="A373" s="54"/>
      <c r="B373" s="57"/>
      <c r="C373" s="60"/>
      <c r="D373" s="66" t="str">
        <f t="shared" si="35"/>
        <v/>
      </c>
      <c r="E373" s="64" t="str">
        <f>IF(OR(C373="",A373=""),"",IF(A373&lt;'Page de garde'!$G$7,IF(VALUE(RIGHT(C373,2))&lt;50,66,86),INDEX(EC!$C$2:$C$677,MATCH(C373,EC,0))))</f>
        <v/>
      </c>
      <c r="F373" s="33" t="str">
        <f t="shared" si="36"/>
        <v/>
      </c>
      <c r="G373" s="38"/>
      <c r="H373" s="38"/>
      <c r="I373" s="38"/>
      <c r="J373" s="36"/>
      <c r="K373" s="29"/>
      <c r="L373" s="29"/>
      <c r="M373" s="31"/>
      <c r="N373" s="40">
        <f t="shared" si="37"/>
        <v>0</v>
      </c>
      <c r="P373" s="4" t="str">
        <f t="shared" si="38"/>
        <v/>
      </c>
      <c r="Q373" s="4" t="str">
        <f t="shared" si="39"/>
        <v/>
      </c>
      <c r="R373" s="4" t="str">
        <f t="shared" si="40"/>
        <v>/</v>
      </c>
      <c r="S373" s="4" t="str">
        <f t="shared" si="41"/>
        <v/>
      </c>
    </row>
    <row r="374" spans="1:19" x14ac:dyDescent="0.35">
      <c r="A374" s="54"/>
      <c r="B374" s="57"/>
      <c r="C374" s="60"/>
      <c r="D374" s="66" t="str">
        <f t="shared" si="35"/>
        <v/>
      </c>
      <c r="E374" s="64" t="str">
        <f>IF(OR(C374="",A374=""),"",IF(A374&lt;'Page de garde'!$G$7,IF(VALUE(RIGHT(C374,2))&lt;50,66,86),INDEX(EC!$C$2:$C$677,MATCH(C374,EC,0))))</f>
        <v/>
      </c>
      <c r="F374" s="33" t="str">
        <f t="shared" si="36"/>
        <v/>
      </c>
      <c r="G374" s="38"/>
      <c r="H374" s="38"/>
      <c r="I374" s="38"/>
      <c r="J374" s="36"/>
      <c r="K374" s="29"/>
      <c r="L374" s="29"/>
      <c r="M374" s="31"/>
      <c r="N374" s="40">
        <f t="shared" si="37"/>
        <v>0</v>
      </c>
      <c r="P374" s="4" t="str">
        <f t="shared" si="38"/>
        <v/>
      </c>
      <c r="Q374" s="4" t="str">
        <f t="shared" si="39"/>
        <v/>
      </c>
      <c r="R374" s="4" t="str">
        <f t="shared" si="40"/>
        <v>/</v>
      </c>
      <c r="S374" s="4" t="str">
        <f t="shared" si="41"/>
        <v/>
      </c>
    </row>
    <row r="375" spans="1:19" x14ac:dyDescent="0.35">
      <c r="A375" s="54"/>
      <c r="B375" s="57"/>
      <c r="C375" s="60"/>
      <c r="D375" s="66" t="str">
        <f t="shared" si="35"/>
        <v/>
      </c>
      <c r="E375" s="64" t="str">
        <f>IF(OR(C375="",A375=""),"",IF(A375&lt;'Page de garde'!$G$7,IF(VALUE(RIGHT(C375,2))&lt;50,66,86),INDEX(EC!$C$2:$C$677,MATCH(C375,EC,0))))</f>
        <v/>
      </c>
      <c r="F375" s="33" t="str">
        <f t="shared" si="36"/>
        <v/>
      </c>
      <c r="G375" s="38"/>
      <c r="H375" s="38"/>
      <c r="I375" s="38"/>
      <c r="J375" s="36"/>
      <c r="K375" s="29"/>
      <c r="L375" s="29"/>
      <c r="M375" s="31"/>
      <c r="N375" s="40">
        <f t="shared" si="37"/>
        <v>0</v>
      </c>
      <c r="P375" s="4" t="str">
        <f t="shared" si="38"/>
        <v/>
      </c>
      <c r="Q375" s="4" t="str">
        <f t="shared" si="39"/>
        <v/>
      </c>
      <c r="R375" s="4" t="str">
        <f t="shared" si="40"/>
        <v>/</v>
      </c>
      <c r="S375" s="4" t="str">
        <f t="shared" si="41"/>
        <v/>
      </c>
    </row>
    <row r="376" spans="1:19" x14ac:dyDescent="0.35">
      <c r="A376" s="54"/>
      <c r="B376" s="57"/>
      <c r="C376" s="60"/>
      <c r="D376" s="66" t="str">
        <f t="shared" si="35"/>
        <v/>
      </c>
      <c r="E376" s="64" t="str">
        <f>IF(OR(C376="",A376=""),"",IF(A376&lt;'Page de garde'!$G$7,IF(VALUE(RIGHT(C376,2))&lt;50,66,86),INDEX(EC!$C$2:$C$677,MATCH(C376,EC,0))))</f>
        <v/>
      </c>
      <c r="F376" s="33" t="str">
        <f t="shared" si="36"/>
        <v/>
      </c>
      <c r="G376" s="38"/>
      <c r="H376" s="38"/>
      <c r="I376" s="38"/>
      <c r="J376" s="36"/>
      <c r="K376" s="29"/>
      <c r="L376" s="29"/>
      <c r="M376" s="31"/>
      <c r="N376" s="40">
        <f t="shared" si="37"/>
        <v>0</v>
      </c>
      <c r="P376" s="4" t="str">
        <f t="shared" si="38"/>
        <v/>
      </c>
      <c r="Q376" s="4" t="str">
        <f t="shared" si="39"/>
        <v/>
      </c>
      <c r="R376" s="4" t="str">
        <f t="shared" si="40"/>
        <v>/</v>
      </c>
      <c r="S376" s="4" t="str">
        <f t="shared" si="41"/>
        <v/>
      </c>
    </row>
    <row r="377" spans="1:19" x14ac:dyDescent="0.35">
      <c r="A377" s="54"/>
      <c r="B377" s="57"/>
      <c r="C377" s="60"/>
      <c r="D377" s="66" t="str">
        <f t="shared" si="35"/>
        <v/>
      </c>
      <c r="E377" s="64" t="str">
        <f>IF(OR(C377="",A377=""),"",IF(A377&lt;'Page de garde'!$G$7,IF(VALUE(RIGHT(C377,2))&lt;50,66,86),INDEX(EC!$C$2:$C$677,MATCH(C377,EC,0))))</f>
        <v/>
      </c>
      <c r="F377" s="33" t="str">
        <f t="shared" si="36"/>
        <v/>
      </c>
      <c r="G377" s="38"/>
      <c r="H377" s="38"/>
      <c r="I377" s="38"/>
      <c r="J377" s="36"/>
      <c r="K377" s="29"/>
      <c r="L377" s="29"/>
      <c r="M377" s="31"/>
      <c r="N377" s="40">
        <f t="shared" si="37"/>
        <v>0</v>
      </c>
      <c r="P377" s="4" t="str">
        <f t="shared" si="38"/>
        <v/>
      </c>
      <c r="Q377" s="4" t="str">
        <f t="shared" si="39"/>
        <v/>
      </c>
      <c r="R377" s="4" t="str">
        <f t="shared" si="40"/>
        <v>/</v>
      </c>
      <c r="S377" s="4" t="str">
        <f t="shared" si="41"/>
        <v/>
      </c>
    </row>
    <row r="378" spans="1:19" x14ac:dyDescent="0.35">
      <c r="A378" s="54"/>
      <c r="B378" s="57"/>
      <c r="C378" s="60"/>
      <c r="D378" s="66" t="str">
        <f t="shared" si="35"/>
        <v/>
      </c>
      <c r="E378" s="64" t="str">
        <f>IF(OR(C378="",A378=""),"",IF(A378&lt;'Page de garde'!$G$7,IF(VALUE(RIGHT(C378,2))&lt;50,66,86),INDEX(EC!$C$2:$C$677,MATCH(C378,EC,0))))</f>
        <v/>
      </c>
      <c r="F378" s="33" t="str">
        <f t="shared" si="36"/>
        <v/>
      </c>
      <c r="G378" s="38"/>
      <c r="H378" s="38"/>
      <c r="I378" s="38"/>
      <c r="J378" s="36"/>
      <c r="K378" s="29"/>
      <c r="L378" s="29"/>
      <c r="M378" s="31"/>
      <c r="N378" s="40">
        <f t="shared" si="37"/>
        <v>0</v>
      </c>
      <c r="P378" s="4" t="str">
        <f t="shared" si="38"/>
        <v/>
      </c>
      <c r="Q378" s="4" t="str">
        <f t="shared" si="39"/>
        <v/>
      </c>
      <c r="R378" s="4" t="str">
        <f t="shared" si="40"/>
        <v>/</v>
      </c>
      <c r="S378" s="4" t="str">
        <f t="shared" si="41"/>
        <v/>
      </c>
    </row>
    <row r="379" spans="1:19" x14ac:dyDescent="0.35">
      <c r="A379" s="54"/>
      <c r="B379" s="57"/>
      <c r="C379" s="60"/>
      <c r="D379" s="66" t="str">
        <f t="shared" si="35"/>
        <v/>
      </c>
      <c r="E379" s="64" t="str">
        <f>IF(OR(C379="",A379=""),"",IF(A379&lt;'Page de garde'!$G$7,IF(VALUE(RIGHT(C379,2))&lt;50,66,86),INDEX(EC!$C$2:$C$677,MATCH(C379,EC,0))))</f>
        <v/>
      </c>
      <c r="F379" s="33" t="str">
        <f t="shared" si="36"/>
        <v/>
      </c>
      <c r="G379" s="38"/>
      <c r="H379" s="38"/>
      <c r="I379" s="38"/>
      <c r="J379" s="36"/>
      <c r="K379" s="29"/>
      <c r="L379" s="29"/>
      <c r="M379" s="31"/>
      <c r="N379" s="40">
        <f t="shared" si="37"/>
        <v>0</v>
      </c>
      <c r="P379" s="4" t="str">
        <f t="shared" si="38"/>
        <v/>
      </c>
      <c r="Q379" s="4" t="str">
        <f t="shared" si="39"/>
        <v/>
      </c>
      <c r="R379" s="4" t="str">
        <f t="shared" si="40"/>
        <v>/</v>
      </c>
      <c r="S379" s="4" t="str">
        <f t="shared" si="41"/>
        <v/>
      </c>
    </row>
    <row r="380" spans="1:19" x14ac:dyDescent="0.35">
      <c r="A380" s="54"/>
      <c r="B380" s="57"/>
      <c r="C380" s="60"/>
      <c r="D380" s="66" t="str">
        <f t="shared" si="35"/>
        <v/>
      </c>
      <c r="E380" s="64" t="str">
        <f>IF(OR(C380="",A380=""),"",IF(A380&lt;'Page de garde'!$G$7,IF(VALUE(RIGHT(C380,2))&lt;50,66,86),INDEX(EC!$C$2:$C$677,MATCH(C380,EC,0))))</f>
        <v/>
      </c>
      <c r="F380" s="33" t="str">
        <f t="shared" si="36"/>
        <v/>
      </c>
      <c r="G380" s="38"/>
      <c r="H380" s="38"/>
      <c r="I380" s="38"/>
      <c r="J380" s="36"/>
      <c r="K380" s="29"/>
      <c r="L380" s="29"/>
      <c r="M380" s="31"/>
      <c r="N380" s="40">
        <f t="shared" si="37"/>
        <v>0</v>
      </c>
      <c r="P380" s="4" t="str">
        <f t="shared" si="38"/>
        <v/>
      </c>
      <c r="Q380" s="4" t="str">
        <f t="shared" si="39"/>
        <v/>
      </c>
      <c r="R380" s="4" t="str">
        <f t="shared" si="40"/>
        <v>/</v>
      </c>
      <c r="S380" s="4" t="str">
        <f t="shared" si="41"/>
        <v/>
      </c>
    </row>
    <row r="381" spans="1:19" x14ac:dyDescent="0.35">
      <c r="A381" s="54"/>
      <c r="B381" s="57"/>
      <c r="C381" s="60"/>
      <c r="D381" s="66" t="str">
        <f t="shared" si="35"/>
        <v/>
      </c>
      <c r="E381" s="64" t="str">
        <f>IF(OR(C381="",A381=""),"",IF(A381&lt;'Page de garde'!$G$7,IF(VALUE(RIGHT(C381,2))&lt;50,66,86),INDEX(EC!$C$2:$C$677,MATCH(C381,EC,0))))</f>
        <v/>
      </c>
      <c r="F381" s="33" t="str">
        <f t="shared" si="36"/>
        <v/>
      </c>
      <c r="G381" s="38"/>
      <c r="H381" s="38"/>
      <c r="I381" s="38"/>
      <c r="J381" s="36"/>
      <c r="K381" s="29"/>
      <c r="L381" s="29"/>
      <c r="M381" s="31"/>
      <c r="N381" s="40">
        <f t="shared" si="37"/>
        <v>0</v>
      </c>
      <c r="P381" s="4" t="str">
        <f t="shared" si="38"/>
        <v/>
      </c>
      <c r="Q381" s="4" t="str">
        <f t="shared" si="39"/>
        <v/>
      </c>
      <c r="R381" s="4" t="str">
        <f t="shared" si="40"/>
        <v>/</v>
      </c>
      <c r="S381" s="4" t="str">
        <f t="shared" si="41"/>
        <v/>
      </c>
    </row>
    <row r="382" spans="1:19" x14ac:dyDescent="0.35">
      <c r="A382" s="54"/>
      <c r="B382" s="57"/>
      <c r="C382" s="60"/>
      <c r="D382" s="66" t="str">
        <f t="shared" si="35"/>
        <v/>
      </c>
      <c r="E382" s="64" t="str">
        <f>IF(OR(C382="",A382=""),"",IF(A382&lt;'Page de garde'!$G$7,IF(VALUE(RIGHT(C382,2))&lt;50,66,86),INDEX(EC!$C$2:$C$677,MATCH(C382,EC,0))))</f>
        <v/>
      </c>
      <c r="F382" s="33" t="str">
        <f t="shared" si="36"/>
        <v/>
      </c>
      <c r="G382" s="38"/>
      <c r="H382" s="38"/>
      <c r="I382" s="38"/>
      <c r="J382" s="36"/>
      <c r="K382" s="29"/>
      <c r="L382" s="29"/>
      <c r="M382" s="31"/>
      <c r="N382" s="40">
        <f t="shared" si="37"/>
        <v>0</v>
      </c>
      <c r="P382" s="4" t="str">
        <f t="shared" si="38"/>
        <v/>
      </c>
      <c r="Q382" s="4" t="str">
        <f t="shared" si="39"/>
        <v/>
      </c>
      <c r="R382" s="4" t="str">
        <f t="shared" si="40"/>
        <v>/</v>
      </c>
      <c r="S382" s="4" t="str">
        <f t="shared" si="41"/>
        <v/>
      </c>
    </row>
    <row r="383" spans="1:19" x14ac:dyDescent="0.35">
      <c r="A383" s="54"/>
      <c r="B383" s="57"/>
      <c r="C383" s="60"/>
      <c r="D383" s="66" t="str">
        <f t="shared" si="35"/>
        <v/>
      </c>
      <c r="E383" s="64" t="str">
        <f>IF(OR(C383="",A383=""),"",IF(A383&lt;'Page de garde'!$G$7,IF(VALUE(RIGHT(C383,2))&lt;50,66,86),INDEX(EC!$C$2:$C$677,MATCH(C383,EC,0))))</f>
        <v/>
      </c>
      <c r="F383" s="33" t="str">
        <f t="shared" si="36"/>
        <v/>
      </c>
      <c r="G383" s="38"/>
      <c r="H383" s="38"/>
      <c r="I383" s="38"/>
      <c r="J383" s="36"/>
      <c r="K383" s="29"/>
      <c r="L383" s="29"/>
      <c r="M383" s="31"/>
      <c r="N383" s="40">
        <f t="shared" si="37"/>
        <v>0</v>
      </c>
      <c r="P383" s="4" t="str">
        <f t="shared" si="38"/>
        <v/>
      </c>
      <c r="Q383" s="4" t="str">
        <f t="shared" si="39"/>
        <v/>
      </c>
      <c r="R383" s="4" t="str">
        <f t="shared" si="40"/>
        <v>/</v>
      </c>
      <c r="S383" s="4" t="str">
        <f t="shared" si="41"/>
        <v/>
      </c>
    </row>
    <row r="384" spans="1:19" x14ac:dyDescent="0.35">
      <c r="A384" s="54"/>
      <c r="B384" s="57"/>
      <c r="C384" s="60"/>
      <c r="D384" s="66" t="str">
        <f t="shared" si="35"/>
        <v/>
      </c>
      <c r="E384" s="64" t="str">
        <f>IF(OR(C384="",A384=""),"",IF(A384&lt;'Page de garde'!$G$7,IF(VALUE(RIGHT(C384,2))&lt;50,66,86),INDEX(EC!$C$2:$C$677,MATCH(C384,EC,0))))</f>
        <v/>
      </c>
      <c r="F384" s="33" t="str">
        <f t="shared" si="36"/>
        <v/>
      </c>
      <c r="G384" s="38"/>
      <c r="H384" s="38"/>
      <c r="I384" s="38"/>
      <c r="J384" s="36"/>
      <c r="K384" s="29"/>
      <c r="L384" s="29"/>
      <c r="M384" s="31"/>
      <c r="N384" s="40">
        <f t="shared" si="37"/>
        <v>0</v>
      </c>
      <c r="P384" s="4" t="str">
        <f t="shared" si="38"/>
        <v/>
      </c>
      <c r="Q384" s="4" t="str">
        <f t="shared" si="39"/>
        <v/>
      </c>
      <c r="R384" s="4" t="str">
        <f t="shared" si="40"/>
        <v>/</v>
      </c>
      <c r="S384" s="4" t="str">
        <f t="shared" si="41"/>
        <v/>
      </c>
    </row>
    <row r="385" spans="1:19" x14ac:dyDescent="0.35">
      <c r="A385" s="54"/>
      <c r="B385" s="57"/>
      <c r="C385" s="60"/>
      <c r="D385" s="66" t="str">
        <f t="shared" si="35"/>
        <v/>
      </c>
      <c r="E385" s="64" t="str">
        <f>IF(OR(C385="",A385=""),"",IF(A385&lt;'Page de garde'!$G$7,IF(VALUE(RIGHT(C385,2))&lt;50,66,86),INDEX(EC!$C$2:$C$677,MATCH(C385,EC,0))))</f>
        <v/>
      </c>
      <c r="F385" s="33" t="str">
        <f t="shared" si="36"/>
        <v/>
      </c>
      <c r="G385" s="38"/>
      <c r="H385" s="38"/>
      <c r="I385" s="38"/>
      <c r="J385" s="36"/>
      <c r="K385" s="29"/>
      <c r="L385" s="29"/>
      <c r="M385" s="31"/>
      <c r="N385" s="40">
        <f t="shared" si="37"/>
        <v>0</v>
      </c>
      <c r="P385" s="4" t="str">
        <f t="shared" si="38"/>
        <v/>
      </c>
      <c r="Q385" s="4" t="str">
        <f t="shared" si="39"/>
        <v/>
      </c>
      <c r="R385" s="4" t="str">
        <f t="shared" si="40"/>
        <v>/</v>
      </c>
      <c r="S385" s="4" t="str">
        <f t="shared" si="41"/>
        <v/>
      </c>
    </row>
    <row r="386" spans="1:19" x14ac:dyDescent="0.35">
      <c r="A386" s="54"/>
      <c r="B386" s="57"/>
      <c r="C386" s="60"/>
      <c r="D386" s="66" t="str">
        <f t="shared" si="35"/>
        <v/>
      </c>
      <c r="E386" s="64" t="str">
        <f>IF(OR(C386="",A386=""),"",IF(A386&lt;'Page de garde'!$G$7,IF(VALUE(RIGHT(C386,2))&lt;50,66,86),INDEX(EC!$C$2:$C$677,MATCH(C386,EC,0))))</f>
        <v/>
      </c>
      <c r="F386" s="33" t="str">
        <f t="shared" si="36"/>
        <v/>
      </c>
      <c r="G386" s="38"/>
      <c r="H386" s="38"/>
      <c r="I386" s="38"/>
      <c r="J386" s="36"/>
      <c r="K386" s="29"/>
      <c r="L386" s="29"/>
      <c r="M386" s="31"/>
      <c r="N386" s="40">
        <f t="shared" si="37"/>
        <v>0</v>
      </c>
      <c r="P386" s="4" t="str">
        <f t="shared" si="38"/>
        <v/>
      </c>
      <c r="Q386" s="4" t="str">
        <f t="shared" si="39"/>
        <v/>
      </c>
      <c r="R386" s="4" t="str">
        <f t="shared" si="40"/>
        <v>/</v>
      </c>
      <c r="S386" s="4" t="str">
        <f t="shared" si="41"/>
        <v/>
      </c>
    </row>
    <row r="387" spans="1:19" x14ac:dyDescent="0.35">
      <c r="A387" s="54"/>
      <c r="B387" s="57"/>
      <c r="C387" s="60"/>
      <c r="D387" s="66" t="str">
        <f t="shared" si="35"/>
        <v/>
      </c>
      <c r="E387" s="64" t="str">
        <f>IF(OR(C387="",A387=""),"",IF(A387&lt;'Page de garde'!$G$7,IF(VALUE(RIGHT(C387,2))&lt;50,66,86),INDEX(EC!$C$2:$C$677,MATCH(C387,EC,0))))</f>
        <v/>
      </c>
      <c r="F387" s="33" t="str">
        <f t="shared" si="36"/>
        <v/>
      </c>
      <c r="G387" s="38"/>
      <c r="H387" s="38"/>
      <c r="I387" s="38"/>
      <c r="J387" s="36"/>
      <c r="K387" s="29"/>
      <c r="L387" s="29"/>
      <c r="M387" s="31"/>
      <c r="N387" s="40">
        <f t="shared" si="37"/>
        <v>0</v>
      </c>
      <c r="P387" s="4" t="str">
        <f t="shared" si="38"/>
        <v/>
      </c>
      <c r="Q387" s="4" t="str">
        <f t="shared" si="39"/>
        <v/>
      </c>
      <c r="R387" s="4" t="str">
        <f t="shared" si="40"/>
        <v>/</v>
      </c>
      <c r="S387" s="4" t="str">
        <f t="shared" si="41"/>
        <v/>
      </c>
    </row>
    <row r="388" spans="1:19" x14ac:dyDescent="0.35">
      <c r="A388" s="54"/>
      <c r="B388" s="57"/>
      <c r="C388" s="60"/>
      <c r="D388" s="66" t="str">
        <f t="shared" si="35"/>
        <v/>
      </c>
      <c r="E388" s="64" t="str">
        <f>IF(OR(C388="",A388=""),"",IF(A388&lt;'Page de garde'!$G$7,IF(VALUE(RIGHT(C388,2))&lt;50,66,86),INDEX(EC!$C$2:$C$677,MATCH(C388,EC,0))))</f>
        <v/>
      </c>
      <c r="F388" s="33" t="str">
        <f t="shared" si="36"/>
        <v/>
      </c>
      <c r="G388" s="38"/>
      <c r="H388" s="38"/>
      <c r="I388" s="38"/>
      <c r="J388" s="36"/>
      <c r="K388" s="29"/>
      <c r="L388" s="29"/>
      <c r="M388" s="31"/>
      <c r="N388" s="40">
        <f t="shared" si="37"/>
        <v>0</v>
      </c>
      <c r="P388" s="4" t="str">
        <f t="shared" si="38"/>
        <v/>
      </c>
      <c r="Q388" s="4" t="str">
        <f t="shared" si="39"/>
        <v/>
      </c>
      <c r="R388" s="4" t="str">
        <f t="shared" si="40"/>
        <v>/</v>
      </c>
      <c r="S388" s="4" t="str">
        <f t="shared" si="41"/>
        <v/>
      </c>
    </row>
    <row r="389" spans="1:19" x14ac:dyDescent="0.35">
      <c r="A389" s="54"/>
      <c r="B389" s="57"/>
      <c r="C389" s="60"/>
      <c r="D389" s="66" t="str">
        <f t="shared" ref="D389:D452" si="42">IF(OR(B389="",C389=""),"",CONCATENATE(B389,"/",LEFT(C389,3),"-",RIGHT(C389,2)))</f>
        <v/>
      </c>
      <c r="E389" s="64" t="str">
        <f>IF(OR(C389="",A389=""),"",IF(A389&lt;'Page de garde'!$G$7,IF(VALUE(RIGHT(C389,2))&lt;50,66,86),INDEX(EC!$C$2:$C$677,MATCH(C389,EC,0))))</f>
        <v/>
      </c>
      <c r="F389" s="33" t="str">
        <f t="shared" ref="F389:F420" si="43">IF(C389="","",INDEX(OmEC,MATCH(C389,EC,0)))</f>
        <v/>
      </c>
      <c r="G389" s="38"/>
      <c r="H389" s="38"/>
      <c r="I389" s="38"/>
      <c r="J389" s="36"/>
      <c r="K389" s="29"/>
      <c r="L389" s="29"/>
      <c r="M389" s="31"/>
      <c r="N389" s="40">
        <f t="shared" ref="N389:N452" si="44">SUM(I389:M389)</f>
        <v>0</v>
      </c>
      <c r="P389" s="4" t="str">
        <f t="shared" ref="P389:P452" si="45">LEFT(C389,3)</f>
        <v/>
      </c>
      <c r="Q389" s="4" t="str">
        <f t="shared" si="39"/>
        <v/>
      </c>
      <c r="R389" s="4" t="str">
        <f t="shared" si="40"/>
        <v>/</v>
      </c>
      <c r="S389" s="4" t="str">
        <f t="shared" si="41"/>
        <v/>
      </c>
    </row>
    <row r="390" spans="1:19" x14ac:dyDescent="0.35">
      <c r="A390" s="54"/>
      <c r="B390" s="57"/>
      <c r="C390" s="60"/>
      <c r="D390" s="66" t="str">
        <f t="shared" si="42"/>
        <v/>
      </c>
      <c r="E390" s="64" t="str">
        <f>IF(OR(C390="",A390=""),"",IF(A390&lt;'Page de garde'!$G$7,IF(VALUE(RIGHT(C390,2))&lt;50,66,86),INDEX(EC!$C$2:$C$677,MATCH(C390,EC,0))))</f>
        <v/>
      </c>
      <c r="F390" s="33" t="str">
        <f t="shared" si="43"/>
        <v/>
      </c>
      <c r="G390" s="38"/>
      <c r="H390" s="38"/>
      <c r="I390" s="38"/>
      <c r="J390" s="36"/>
      <c r="K390" s="29"/>
      <c r="L390" s="29"/>
      <c r="M390" s="31"/>
      <c r="N390" s="40">
        <f t="shared" si="44"/>
        <v>0</v>
      </c>
      <c r="P390" s="4" t="str">
        <f t="shared" si="45"/>
        <v/>
      </c>
      <c r="Q390" s="4" t="str">
        <f t="shared" ref="Q390:Q453" si="46">IF(C390="","",IF(VALUE(RIGHT(C390,2))&lt;50,"G","B"))</f>
        <v/>
      </c>
      <c r="R390" s="4" t="str">
        <f t="shared" ref="R390:R453" si="47">CONCATENATE(D390,"/",A390)</f>
        <v>/</v>
      </c>
      <c r="S390" s="4" t="str">
        <f t="shared" ref="S390:S453" si="48">IF(B390="","",LEFT(B390,3))</f>
        <v/>
      </c>
    </row>
    <row r="391" spans="1:19" x14ac:dyDescent="0.35">
      <c r="A391" s="54"/>
      <c r="B391" s="57"/>
      <c r="C391" s="60"/>
      <c r="D391" s="66" t="str">
        <f t="shared" si="42"/>
        <v/>
      </c>
      <c r="E391" s="64" t="str">
        <f>IF(OR(C391="",A391=""),"",IF(A391&lt;'Page de garde'!$G$7,IF(VALUE(RIGHT(C391,2))&lt;50,66,86),INDEX(EC!$C$2:$C$677,MATCH(C391,EC,0))))</f>
        <v/>
      </c>
      <c r="F391" s="33" t="str">
        <f t="shared" si="43"/>
        <v/>
      </c>
      <c r="G391" s="38"/>
      <c r="H391" s="38"/>
      <c r="I391" s="38"/>
      <c r="J391" s="36"/>
      <c r="K391" s="29"/>
      <c r="L391" s="29"/>
      <c r="M391" s="31"/>
      <c r="N391" s="40">
        <f t="shared" si="44"/>
        <v>0</v>
      </c>
      <c r="P391" s="4" t="str">
        <f t="shared" si="45"/>
        <v/>
      </c>
      <c r="Q391" s="4" t="str">
        <f t="shared" si="46"/>
        <v/>
      </c>
      <c r="R391" s="4" t="str">
        <f t="shared" si="47"/>
        <v>/</v>
      </c>
      <c r="S391" s="4" t="str">
        <f t="shared" si="48"/>
        <v/>
      </c>
    </row>
    <row r="392" spans="1:19" x14ac:dyDescent="0.35">
      <c r="A392" s="54"/>
      <c r="B392" s="57"/>
      <c r="C392" s="60"/>
      <c r="D392" s="66" t="str">
        <f t="shared" si="42"/>
        <v/>
      </c>
      <c r="E392" s="64" t="str">
        <f>IF(OR(C392="",A392=""),"",IF(A392&lt;'Page de garde'!$G$7,IF(VALUE(RIGHT(C392,2))&lt;50,66,86),INDEX(EC!$C$2:$C$677,MATCH(C392,EC,0))))</f>
        <v/>
      </c>
      <c r="F392" s="33" t="str">
        <f t="shared" si="43"/>
        <v/>
      </c>
      <c r="G392" s="38"/>
      <c r="H392" s="38"/>
      <c r="I392" s="38"/>
      <c r="J392" s="36"/>
      <c r="K392" s="29"/>
      <c r="L392" s="29"/>
      <c r="M392" s="31"/>
      <c r="N392" s="40">
        <f t="shared" si="44"/>
        <v>0</v>
      </c>
      <c r="P392" s="4" t="str">
        <f t="shared" si="45"/>
        <v/>
      </c>
      <c r="Q392" s="4" t="str">
        <f t="shared" si="46"/>
        <v/>
      </c>
      <c r="R392" s="4" t="str">
        <f t="shared" si="47"/>
        <v>/</v>
      </c>
      <c r="S392" s="4" t="str">
        <f t="shared" si="48"/>
        <v/>
      </c>
    </row>
    <row r="393" spans="1:19" x14ac:dyDescent="0.35">
      <c r="A393" s="54"/>
      <c r="B393" s="57"/>
      <c r="C393" s="60"/>
      <c r="D393" s="66" t="str">
        <f t="shared" si="42"/>
        <v/>
      </c>
      <c r="E393" s="64" t="str">
        <f>IF(OR(C393="",A393=""),"",IF(A393&lt;'Page de garde'!$G$7,IF(VALUE(RIGHT(C393,2))&lt;50,66,86),INDEX(EC!$C$2:$C$677,MATCH(C393,EC,0))))</f>
        <v/>
      </c>
      <c r="F393" s="33" t="str">
        <f t="shared" si="43"/>
        <v/>
      </c>
      <c r="G393" s="38"/>
      <c r="H393" s="38"/>
      <c r="I393" s="38"/>
      <c r="J393" s="36"/>
      <c r="K393" s="29"/>
      <c r="L393" s="29"/>
      <c r="M393" s="31"/>
      <c r="N393" s="40">
        <f t="shared" si="44"/>
        <v>0</v>
      </c>
      <c r="P393" s="4" t="str">
        <f t="shared" si="45"/>
        <v/>
      </c>
      <c r="Q393" s="4" t="str">
        <f t="shared" si="46"/>
        <v/>
      </c>
      <c r="R393" s="4" t="str">
        <f t="shared" si="47"/>
        <v>/</v>
      </c>
      <c r="S393" s="4" t="str">
        <f t="shared" si="48"/>
        <v/>
      </c>
    </row>
    <row r="394" spans="1:19" x14ac:dyDescent="0.35">
      <c r="A394" s="54"/>
      <c r="B394" s="57"/>
      <c r="C394" s="60"/>
      <c r="D394" s="66" t="str">
        <f t="shared" si="42"/>
        <v/>
      </c>
      <c r="E394" s="64" t="str">
        <f>IF(OR(C394="",A394=""),"",IF(A394&lt;'Page de garde'!$G$7,IF(VALUE(RIGHT(C394,2))&lt;50,66,86),INDEX(EC!$C$2:$C$677,MATCH(C394,EC,0))))</f>
        <v/>
      </c>
      <c r="F394" s="33" t="str">
        <f t="shared" si="43"/>
        <v/>
      </c>
      <c r="G394" s="38"/>
      <c r="H394" s="38"/>
      <c r="I394" s="38"/>
      <c r="J394" s="36"/>
      <c r="K394" s="29"/>
      <c r="L394" s="29"/>
      <c r="M394" s="31"/>
      <c r="N394" s="40">
        <f t="shared" si="44"/>
        <v>0</v>
      </c>
      <c r="P394" s="4" t="str">
        <f t="shared" si="45"/>
        <v/>
      </c>
      <c r="Q394" s="4" t="str">
        <f t="shared" si="46"/>
        <v/>
      </c>
      <c r="R394" s="4" t="str">
        <f t="shared" si="47"/>
        <v>/</v>
      </c>
      <c r="S394" s="4" t="str">
        <f t="shared" si="48"/>
        <v/>
      </c>
    </row>
    <row r="395" spans="1:19" x14ac:dyDescent="0.35">
      <c r="A395" s="54"/>
      <c r="B395" s="57"/>
      <c r="C395" s="60"/>
      <c r="D395" s="66" t="str">
        <f t="shared" si="42"/>
        <v/>
      </c>
      <c r="E395" s="64" t="str">
        <f>IF(OR(C395="",A395=""),"",IF(A395&lt;'Page de garde'!$G$7,IF(VALUE(RIGHT(C395,2))&lt;50,66,86),INDEX(EC!$C$2:$C$677,MATCH(C395,EC,0))))</f>
        <v/>
      </c>
      <c r="F395" s="33" t="str">
        <f t="shared" si="43"/>
        <v/>
      </c>
      <c r="G395" s="38"/>
      <c r="H395" s="38"/>
      <c r="I395" s="38"/>
      <c r="J395" s="36"/>
      <c r="K395" s="29"/>
      <c r="L395" s="29"/>
      <c r="M395" s="31"/>
      <c r="N395" s="40">
        <f t="shared" si="44"/>
        <v>0</v>
      </c>
      <c r="P395" s="4" t="str">
        <f t="shared" si="45"/>
        <v/>
      </c>
      <c r="Q395" s="4" t="str">
        <f t="shared" si="46"/>
        <v/>
      </c>
      <c r="R395" s="4" t="str">
        <f t="shared" si="47"/>
        <v>/</v>
      </c>
      <c r="S395" s="4" t="str">
        <f t="shared" si="48"/>
        <v/>
      </c>
    </row>
    <row r="396" spans="1:19" x14ac:dyDescent="0.35">
      <c r="A396" s="54"/>
      <c r="B396" s="57"/>
      <c r="C396" s="60"/>
      <c r="D396" s="66" t="str">
        <f t="shared" si="42"/>
        <v/>
      </c>
      <c r="E396" s="64" t="str">
        <f>IF(OR(C396="",A396=""),"",IF(A396&lt;'Page de garde'!$G$7,IF(VALUE(RIGHT(C396,2))&lt;50,66,86),INDEX(EC!$C$2:$C$677,MATCH(C396,EC,0))))</f>
        <v/>
      </c>
      <c r="F396" s="33" t="str">
        <f t="shared" si="43"/>
        <v/>
      </c>
      <c r="G396" s="38"/>
      <c r="H396" s="38"/>
      <c r="I396" s="38"/>
      <c r="J396" s="36"/>
      <c r="K396" s="29"/>
      <c r="L396" s="29"/>
      <c r="M396" s="31"/>
      <c r="N396" s="40">
        <f t="shared" si="44"/>
        <v>0</v>
      </c>
      <c r="P396" s="4" t="str">
        <f t="shared" si="45"/>
        <v/>
      </c>
      <c r="Q396" s="4" t="str">
        <f t="shared" si="46"/>
        <v/>
      </c>
      <c r="R396" s="4" t="str">
        <f t="shared" si="47"/>
        <v>/</v>
      </c>
      <c r="S396" s="4" t="str">
        <f t="shared" si="48"/>
        <v/>
      </c>
    </row>
    <row r="397" spans="1:19" x14ac:dyDescent="0.35">
      <c r="A397" s="54"/>
      <c r="B397" s="57"/>
      <c r="C397" s="60"/>
      <c r="D397" s="66" t="str">
        <f t="shared" si="42"/>
        <v/>
      </c>
      <c r="E397" s="64" t="str">
        <f>IF(OR(C397="",A397=""),"",IF(A397&lt;'Page de garde'!$G$7,IF(VALUE(RIGHT(C397,2))&lt;50,66,86),INDEX(EC!$C$2:$C$677,MATCH(C397,EC,0))))</f>
        <v/>
      </c>
      <c r="F397" s="33" t="str">
        <f t="shared" si="43"/>
        <v/>
      </c>
      <c r="G397" s="38"/>
      <c r="H397" s="38"/>
      <c r="I397" s="38"/>
      <c r="J397" s="36"/>
      <c r="K397" s="29"/>
      <c r="L397" s="29"/>
      <c r="M397" s="31"/>
      <c r="N397" s="40">
        <f t="shared" si="44"/>
        <v>0</v>
      </c>
      <c r="P397" s="4" t="str">
        <f t="shared" si="45"/>
        <v/>
      </c>
      <c r="Q397" s="4" t="str">
        <f t="shared" si="46"/>
        <v/>
      </c>
      <c r="R397" s="4" t="str">
        <f t="shared" si="47"/>
        <v>/</v>
      </c>
      <c r="S397" s="4" t="str">
        <f t="shared" si="48"/>
        <v/>
      </c>
    </row>
    <row r="398" spans="1:19" x14ac:dyDescent="0.35">
      <c r="A398" s="54"/>
      <c r="B398" s="57"/>
      <c r="C398" s="60"/>
      <c r="D398" s="66" t="str">
        <f t="shared" si="42"/>
        <v/>
      </c>
      <c r="E398" s="64" t="str">
        <f>IF(OR(C398="",A398=""),"",IF(A398&lt;'Page de garde'!$G$7,IF(VALUE(RIGHT(C398,2))&lt;50,66,86),INDEX(EC!$C$2:$C$677,MATCH(C398,EC,0))))</f>
        <v/>
      </c>
      <c r="F398" s="33" t="str">
        <f t="shared" si="43"/>
        <v/>
      </c>
      <c r="G398" s="38"/>
      <c r="H398" s="38"/>
      <c r="I398" s="38"/>
      <c r="J398" s="36"/>
      <c r="K398" s="29"/>
      <c r="L398" s="29"/>
      <c r="M398" s="31"/>
      <c r="N398" s="40">
        <f t="shared" si="44"/>
        <v>0</v>
      </c>
      <c r="P398" s="4" t="str">
        <f t="shared" si="45"/>
        <v/>
      </c>
      <c r="Q398" s="4" t="str">
        <f t="shared" si="46"/>
        <v/>
      </c>
      <c r="R398" s="4" t="str">
        <f t="shared" si="47"/>
        <v>/</v>
      </c>
      <c r="S398" s="4" t="str">
        <f t="shared" si="48"/>
        <v/>
      </c>
    </row>
    <row r="399" spans="1:19" x14ac:dyDescent="0.35">
      <c r="A399" s="54"/>
      <c r="B399" s="57"/>
      <c r="C399" s="60"/>
      <c r="D399" s="66" t="str">
        <f t="shared" si="42"/>
        <v/>
      </c>
      <c r="E399" s="64" t="str">
        <f>IF(OR(C399="",A399=""),"",IF(A399&lt;'Page de garde'!$G$7,IF(VALUE(RIGHT(C399,2))&lt;50,66,86),INDEX(EC!$C$2:$C$677,MATCH(C399,EC,0))))</f>
        <v/>
      </c>
      <c r="F399" s="33" t="str">
        <f t="shared" si="43"/>
        <v/>
      </c>
      <c r="G399" s="38"/>
      <c r="H399" s="38"/>
      <c r="I399" s="38"/>
      <c r="J399" s="36"/>
      <c r="K399" s="29"/>
      <c r="L399" s="29"/>
      <c r="M399" s="31"/>
      <c r="N399" s="40">
        <f t="shared" si="44"/>
        <v>0</v>
      </c>
      <c r="P399" s="4" t="str">
        <f t="shared" si="45"/>
        <v/>
      </c>
      <c r="Q399" s="4" t="str">
        <f t="shared" si="46"/>
        <v/>
      </c>
      <c r="R399" s="4" t="str">
        <f t="shared" si="47"/>
        <v>/</v>
      </c>
      <c r="S399" s="4" t="str">
        <f t="shared" si="48"/>
        <v/>
      </c>
    </row>
    <row r="400" spans="1:19" x14ac:dyDescent="0.35">
      <c r="A400" s="54"/>
      <c r="B400" s="57"/>
      <c r="C400" s="60"/>
      <c r="D400" s="66" t="str">
        <f t="shared" si="42"/>
        <v/>
      </c>
      <c r="E400" s="64" t="str">
        <f>IF(OR(C400="",A400=""),"",IF(A400&lt;'Page de garde'!$G$7,IF(VALUE(RIGHT(C400,2))&lt;50,66,86),INDEX(EC!$C$2:$C$677,MATCH(C400,EC,0))))</f>
        <v/>
      </c>
      <c r="F400" s="33" t="str">
        <f t="shared" si="43"/>
        <v/>
      </c>
      <c r="G400" s="38"/>
      <c r="H400" s="38"/>
      <c r="I400" s="38"/>
      <c r="J400" s="36"/>
      <c r="K400" s="29"/>
      <c r="L400" s="29"/>
      <c r="M400" s="31"/>
      <c r="N400" s="40">
        <f t="shared" si="44"/>
        <v>0</v>
      </c>
      <c r="P400" s="4" t="str">
        <f t="shared" si="45"/>
        <v/>
      </c>
      <c r="Q400" s="4" t="str">
        <f t="shared" si="46"/>
        <v/>
      </c>
      <c r="R400" s="4" t="str">
        <f t="shared" si="47"/>
        <v>/</v>
      </c>
      <c r="S400" s="4" t="str">
        <f t="shared" si="48"/>
        <v/>
      </c>
    </row>
    <row r="401" spans="1:19" x14ac:dyDescent="0.35">
      <c r="A401" s="54"/>
      <c r="B401" s="57"/>
      <c r="C401" s="60"/>
      <c r="D401" s="66" t="str">
        <f t="shared" si="42"/>
        <v/>
      </c>
      <c r="E401" s="64" t="str">
        <f>IF(OR(C401="",A401=""),"",IF(A401&lt;'Page de garde'!$G$7,IF(VALUE(RIGHT(C401,2))&lt;50,66,86),INDEX(EC!$C$2:$C$677,MATCH(C401,EC,0))))</f>
        <v/>
      </c>
      <c r="F401" s="33" t="str">
        <f t="shared" si="43"/>
        <v/>
      </c>
      <c r="G401" s="38"/>
      <c r="H401" s="38"/>
      <c r="I401" s="38"/>
      <c r="J401" s="36"/>
      <c r="K401" s="29"/>
      <c r="L401" s="29"/>
      <c r="M401" s="31"/>
      <c r="N401" s="40">
        <f t="shared" si="44"/>
        <v>0</v>
      </c>
      <c r="P401" s="4" t="str">
        <f t="shared" si="45"/>
        <v/>
      </c>
      <c r="Q401" s="4" t="str">
        <f t="shared" si="46"/>
        <v/>
      </c>
      <c r="R401" s="4" t="str">
        <f t="shared" si="47"/>
        <v>/</v>
      </c>
      <c r="S401" s="4" t="str">
        <f t="shared" si="48"/>
        <v/>
      </c>
    </row>
    <row r="402" spans="1:19" x14ac:dyDescent="0.35">
      <c r="A402" s="54"/>
      <c r="B402" s="57"/>
      <c r="C402" s="60"/>
      <c r="D402" s="66" t="str">
        <f t="shared" si="42"/>
        <v/>
      </c>
      <c r="E402" s="64" t="str">
        <f>IF(OR(C402="",A402=""),"",IF(A402&lt;'Page de garde'!$G$7,IF(VALUE(RIGHT(C402,2))&lt;50,66,86),INDEX(EC!$C$2:$C$677,MATCH(C402,EC,0))))</f>
        <v/>
      </c>
      <c r="F402" s="33" t="str">
        <f t="shared" si="43"/>
        <v/>
      </c>
      <c r="G402" s="38"/>
      <c r="H402" s="38"/>
      <c r="I402" s="38"/>
      <c r="J402" s="36"/>
      <c r="K402" s="29"/>
      <c r="L402" s="29"/>
      <c r="M402" s="31"/>
      <c r="N402" s="40">
        <f t="shared" si="44"/>
        <v>0</v>
      </c>
      <c r="P402" s="4" t="str">
        <f t="shared" si="45"/>
        <v/>
      </c>
      <c r="Q402" s="4" t="str">
        <f t="shared" si="46"/>
        <v/>
      </c>
      <c r="R402" s="4" t="str">
        <f t="shared" si="47"/>
        <v>/</v>
      </c>
      <c r="S402" s="4" t="str">
        <f t="shared" si="48"/>
        <v/>
      </c>
    </row>
    <row r="403" spans="1:19" x14ac:dyDescent="0.35">
      <c r="A403" s="54"/>
      <c r="B403" s="57"/>
      <c r="C403" s="60"/>
      <c r="D403" s="66" t="str">
        <f t="shared" si="42"/>
        <v/>
      </c>
      <c r="E403" s="64" t="str">
        <f>IF(OR(C403="",A403=""),"",IF(A403&lt;'Page de garde'!$G$7,IF(VALUE(RIGHT(C403,2))&lt;50,66,86),INDEX(EC!$C$2:$C$677,MATCH(C403,EC,0))))</f>
        <v/>
      </c>
      <c r="F403" s="33" t="str">
        <f t="shared" si="43"/>
        <v/>
      </c>
      <c r="G403" s="38"/>
      <c r="H403" s="38"/>
      <c r="I403" s="38"/>
      <c r="J403" s="36"/>
      <c r="K403" s="29"/>
      <c r="L403" s="29"/>
      <c r="M403" s="31"/>
      <c r="N403" s="40">
        <f t="shared" si="44"/>
        <v>0</v>
      </c>
      <c r="P403" s="4" t="str">
        <f t="shared" si="45"/>
        <v/>
      </c>
      <c r="Q403" s="4" t="str">
        <f t="shared" si="46"/>
        <v/>
      </c>
      <c r="R403" s="4" t="str">
        <f t="shared" si="47"/>
        <v>/</v>
      </c>
      <c r="S403" s="4" t="str">
        <f t="shared" si="48"/>
        <v/>
      </c>
    </row>
    <row r="404" spans="1:19" x14ac:dyDescent="0.35">
      <c r="A404" s="54"/>
      <c r="B404" s="57"/>
      <c r="C404" s="60"/>
      <c r="D404" s="66" t="str">
        <f t="shared" si="42"/>
        <v/>
      </c>
      <c r="E404" s="64" t="str">
        <f>IF(OR(C404="",A404=""),"",IF(A404&lt;'Page de garde'!$G$7,IF(VALUE(RIGHT(C404,2))&lt;50,66,86),INDEX(EC!$C$2:$C$677,MATCH(C404,EC,0))))</f>
        <v/>
      </c>
      <c r="F404" s="33" t="str">
        <f t="shared" si="43"/>
        <v/>
      </c>
      <c r="G404" s="38"/>
      <c r="H404" s="38"/>
      <c r="I404" s="38"/>
      <c r="J404" s="36"/>
      <c r="K404" s="29"/>
      <c r="L404" s="29"/>
      <c r="M404" s="31"/>
      <c r="N404" s="40">
        <f t="shared" si="44"/>
        <v>0</v>
      </c>
      <c r="P404" s="4" t="str">
        <f t="shared" si="45"/>
        <v/>
      </c>
      <c r="Q404" s="4" t="str">
        <f t="shared" si="46"/>
        <v/>
      </c>
      <c r="R404" s="4" t="str">
        <f t="shared" si="47"/>
        <v>/</v>
      </c>
      <c r="S404" s="4" t="str">
        <f t="shared" si="48"/>
        <v/>
      </c>
    </row>
    <row r="405" spans="1:19" x14ac:dyDescent="0.35">
      <c r="A405" s="54"/>
      <c r="B405" s="57"/>
      <c r="C405" s="60"/>
      <c r="D405" s="66" t="str">
        <f t="shared" si="42"/>
        <v/>
      </c>
      <c r="E405" s="64" t="str">
        <f>IF(OR(C405="",A405=""),"",IF(A405&lt;'Page de garde'!$G$7,IF(VALUE(RIGHT(C405,2))&lt;50,66,86),INDEX(EC!$C$2:$C$677,MATCH(C405,EC,0))))</f>
        <v/>
      </c>
      <c r="F405" s="33" t="str">
        <f t="shared" si="43"/>
        <v/>
      </c>
      <c r="G405" s="38"/>
      <c r="H405" s="38"/>
      <c r="I405" s="38"/>
      <c r="J405" s="36"/>
      <c r="K405" s="29"/>
      <c r="L405" s="29"/>
      <c r="M405" s="31"/>
      <c r="N405" s="40">
        <f t="shared" si="44"/>
        <v>0</v>
      </c>
      <c r="P405" s="4" t="str">
        <f t="shared" si="45"/>
        <v/>
      </c>
      <c r="Q405" s="4" t="str">
        <f t="shared" si="46"/>
        <v/>
      </c>
      <c r="R405" s="4" t="str">
        <f t="shared" si="47"/>
        <v>/</v>
      </c>
      <c r="S405" s="4" t="str">
        <f t="shared" si="48"/>
        <v/>
      </c>
    </row>
    <row r="406" spans="1:19" x14ac:dyDescent="0.35">
      <c r="A406" s="54"/>
      <c r="B406" s="57"/>
      <c r="C406" s="60"/>
      <c r="D406" s="66" t="str">
        <f t="shared" si="42"/>
        <v/>
      </c>
      <c r="E406" s="64" t="str">
        <f>IF(OR(C406="",A406=""),"",IF(A406&lt;'Page de garde'!$G$7,IF(VALUE(RIGHT(C406,2))&lt;50,66,86),INDEX(EC!$C$2:$C$677,MATCH(C406,EC,0))))</f>
        <v/>
      </c>
      <c r="F406" s="33" t="str">
        <f t="shared" si="43"/>
        <v/>
      </c>
      <c r="G406" s="38"/>
      <c r="H406" s="38"/>
      <c r="I406" s="38"/>
      <c r="J406" s="36"/>
      <c r="K406" s="29"/>
      <c r="L406" s="29"/>
      <c r="M406" s="31"/>
      <c r="N406" s="40">
        <f t="shared" si="44"/>
        <v>0</v>
      </c>
      <c r="P406" s="4" t="str">
        <f t="shared" si="45"/>
        <v/>
      </c>
      <c r="Q406" s="4" t="str">
        <f t="shared" si="46"/>
        <v/>
      </c>
      <c r="R406" s="4" t="str">
        <f t="shared" si="47"/>
        <v>/</v>
      </c>
      <c r="S406" s="4" t="str">
        <f t="shared" si="48"/>
        <v/>
      </c>
    </row>
    <row r="407" spans="1:19" x14ac:dyDescent="0.35">
      <c r="A407" s="54"/>
      <c r="B407" s="57"/>
      <c r="C407" s="60"/>
      <c r="D407" s="66" t="str">
        <f t="shared" si="42"/>
        <v/>
      </c>
      <c r="E407" s="64" t="str">
        <f>IF(OR(C407="",A407=""),"",IF(A407&lt;'Page de garde'!$G$7,IF(VALUE(RIGHT(C407,2))&lt;50,66,86),INDEX(EC!$C$2:$C$677,MATCH(C407,EC,0))))</f>
        <v/>
      </c>
      <c r="F407" s="33" t="str">
        <f t="shared" si="43"/>
        <v/>
      </c>
      <c r="G407" s="38"/>
      <c r="H407" s="38"/>
      <c r="I407" s="38"/>
      <c r="J407" s="36"/>
      <c r="K407" s="29"/>
      <c r="L407" s="29"/>
      <c r="M407" s="31"/>
      <c r="N407" s="40">
        <f t="shared" si="44"/>
        <v>0</v>
      </c>
      <c r="P407" s="4" t="str">
        <f t="shared" si="45"/>
        <v/>
      </c>
      <c r="Q407" s="4" t="str">
        <f t="shared" si="46"/>
        <v/>
      </c>
      <c r="R407" s="4" t="str">
        <f t="shared" si="47"/>
        <v>/</v>
      </c>
      <c r="S407" s="4" t="str">
        <f t="shared" si="48"/>
        <v/>
      </c>
    </row>
    <row r="408" spans="1:19" x14ac:dyDescent="0.35">
      <c r="A408" s="54"/>
      <c r="B408" s="57"/>
      <c r="C408" s="60"/>
      <c r="D408" s="66" t="str">
        <f t="shared" si="42"/>
        <v/>
      </c>
      <c r="E408" s="64" t="str">
        <f>IF(OR(C408="",A408=""),"",IF(A408&lt;'Page de garde'!$G$7,IF(VALUE(RIGHT(C408,2))&lt;50,66,86),INDEX(EC!$C$2:$C$677,MATCH(C408,EC,0))))</f>
        <v/>
      </c>
      <c r="F408" s="33" t="str">
        <f t="shared" si="43"/>
        <v/>
      </c>
      <c r="G408" s="38"/>
      <c r="H408" s="38"/>
      <c r="I408" s="38"/>
      <c r="J408" s="36"/>
      <c r="K408" s="29"/>
      <c r="L408" s="29"/>
      <c r="M408" s="31"/>
      <c r="N408" s="40">
        <f t="shared" si="44"/>
        <v>0</v>
      </c>
      <c r="P408" s="4" t="str">
        <f t="shared" si="45"/>
        <v/>
      </c>
      <c r="Q408" s="4" t="str">
        <f t="shared" si="46"/>
        <v/>
      </c>
      <c r="R408" s="4" t="str">
        <f t="shared" si="47"/>
        <v>/</v>
      </c>
      <c r="S408" s="4" t="str">
        <f t="shared" si="48"/>
        <v/>
      </c>
    </row>
    <row r="409" spans="1:19" x14ac:dyDescent="0.35">
      <c r="A409" s="54"/>
      <c r="B409" s="57"/>
      <c r="C409" s="60"/>
      <c r="D409" s="66" t="str">
        <f t="shared" si="42"/>
        <v/>
      </c>
      <c r="E409" s="64" t="str">
        <f>IF(OR(C409="",A409=""),"",IF(A409&lt;'Page de garde'!$G$7,IF(VALUE(RIGHT(C409,2))&lt;50,66,86),INDEX(EC!$C$2:$C$677,MATCH(C409,EC,0))))</f>
        <v/>
      </c>
      <c r="F409" s="33" t="str">
        <f t="shared" si="43"/>
        <v/>
      </c>
      <c r="G409" s="38"/>
      <c r="H409" s="38"/>
      <c r="I409" s="38"/>
      <c r="J409" s="36"/>
      <c r="K409" s="29"/>
      <c r="L409" s="29"/>
      <c r="M409" s="31"/>
      <c r="N409" s="40">
        <f t="shared" si="44"/>
        <v>0</v>
      </c>
      <c r="P409" s="4" t="str">
        <f t="shared" si="45"/>
        <v/>
      </c>
      <c r="Q409" s="4" t="str">
        <f t="shared" si="46"/>
        <v/>
      </c>
      <c r="R409" s="4" t="str">
        <f t="shared" si="47"/>
        <v>/</v>
      </c>
      <c r="S409" s="4" t="str">
        <f t="shared" si="48"/>
        <v/>
      </c>
    </row>
    <row r="410" spans="1:19" x14ac:dyDescent="0.35">
      <c r="A410" s="54"/>
      <c r="B410" s="57"/>
      <c r="C410" s="60"/>
      <c r="D410" s="66" t="str">
        <f t="shared" si="42"/>
        <v/>
      </c>
      <c r="E410" s="64" t="str">
        <f>IF(OR(C410="",A410=""),"",IF(A410&lt;'Page de garde'!$G$7,IF(VALUE(RIGHT(C410,2))&lt;50,66,86),INDEX(EC!$C$2:$C$677,MATCH(C410,EC,0))))</f>
        <v/>
      </c>
      <c r="F410" s="33" t="str">
        <f t="shared" si="43"/>
        <v/>
      </c>
      <c r="G410" s="38"/>
      <c r="H410" s="38"/>
      <c r="I410" s="38"/>
      <c r="J410" s="36"/>
      <c r="K410" s="29"/>
      <c r="L410" s="29"/>
      <c r="M410" s="31"/>
      <c r="N410" s="40">
        <f t="shared" si="44"/>
        <v>0</v>
      </c>
      <c r="P410" s="4" t="str">
        <f t="shared" si="45"/>
        <v/>
      </c>
      <c r="Q410" s="4" t="str">
        <f t="shared" si="46"/>
        <v/>
      </c>
      <c r="R410" s="4" t="str">
        <f t="shared" si="47"/>
        <v>/</v>
      </c>
      <c r="S410" s="4" t="str">
        <f t="shared" si="48"/>
        <v/>
      </c>
    </row>
    <row r="411" spans="1:19" x14ac:dyDescent="0.35">
      <c r="A411" s="54"/>
      <c r="B411" s="57"/>
      <c r="C411" s="60"/>
      <c r="D411" s="66" t="str">
        <f t="shared" si="42"/>
        <v/>
      </c>
      <c r="E411" s="64" t="str">
        <f>IF(OR(C411="",A411=""),"",IF(A411&lt;'Page de garde'!$G$7,IF(VALUE(RIGHT(C411,2))&lt;50,66,86),INDEX(EC!$C$2:$C$677,MATCH(C411,EC,0))))</f>
        <v/>
      </c>
      <c r="F411" s="33" t="str">
        <f t="shared" si="43"/>
        <v/>
      </c>
      <c r="G411" s="38"/>
      <c r="H411" s="38"/>
      <c r="I411" s="38"/>
      <c r="J411" s="36"/>
      <c r="K411" s="29"/>
      <c r="L411" s="29"/>
      <c r="M411" s="31"/>
      <c r="N411" s="40">
        <f t="shared" si="44"/>
        <v>0</v>
      </c>
      <c r="P411" s="4" t="str">
        <f t="shared" si="45"/>
        <v/>
      </c>
      <c r="Q411" s="4" t="str">
        <f t="shared" si="46"/>
        <v/>
      </c>
      <c r="R411" s="4" t="str">
        <f t="shared" si="47"/>
        <v>/</v>
      </c>
      <c r="S411" s="4" t="str">
        <f t="shared" si="48"/>
        <v/>
      </c>
    </row>
    <row r="412" spans="1:19" x14ac:dyDescent="0.35">
      <c r="A412" s="54"/>
      <c r="B412" s="57"/>
      <c r="C412" s="60"/>
      <c r="D412" s="66" t="str">
        <f t="shared" si="42"/>
        <v/>
      </c>
      <c r="E412" s="64" t="str">
        <f>IF(OR(C412="",A412=""),"",IF(A412&lt;'Page de garde'!$G$7,IF(VALUE(RIGHT(C412,2))&lt;50,66,86),INDEX(EC!$C$2:$C$677,MATCH(C412,EC,0))))</f>
        <v/>
      </c>
      <c r="F412" s="33" t="str">
        <f t="shared" si="43"/>
        <v/>
      </c>
      <c r="G412" s="38"/>
      <c r="H412" s="38"/>
      <c r="I412" s="38"/>
      <c r="J412" s="36"/>
      <c r="K412" s="29"/>
      <c r="L412" s="29"/>
      <c r="M412" s="31"/>
      <c r="N412" s="40">
        <f t="shared" si="44"/>
        <v>0</v>
      </c>
      <c r="P412" s="4" t="str">
        <f t="shared" si="45"/>
        <v/>
      </c>
      <c r="Q412" s="4" t="str">
        <f t="shared" si="46"/>
        <v/>
      </c>
      <c r="R412" s="4" t="str">
        <f t="shared" si="47"/>
        <v>/</v>
      </c>
      <c r="S412" s="4" t="str">
        <f t="shared" si="48"/>
        <v/>
      </c>
    </row>
    <row r="413" spans="1:19" x14ac:dyDescent="0.35">
      <c r="A413" s="54"/>
      <c r="B413" s="57"/>
      <c r="C413" s="60"/>
      <c r="D413" s="66" t="str">
        <f t="shared" si="42"/>
        <v/>
      </c>
      <c r="E413" s="64" t="str">
        <f>IF(OR(C413="",A413=""),"",IF(A413&lt;'Page de garde'!$G$7,IF(VALUE(RIGHT(C413,2))&lt;50,66,86),INDEX(EC!$C$2:$C$677,MATCH(C413,EC,0))))</f>
        <v/>
      </c>
      <c r="F413" s="33" t="str">
        <f t="shared" si="43"/>
        <v/>
      </c>
      <c r="G413" s="38"/>
      <c r="H413" s="38"/>
      <c r="I413" s="38"/>
      <c r="J413" s="36"/>
      <c r="K413" s="29"/>
      <c r="L413" s="29"/>
      <c r="M413" s="31"/>
      <c r="N413" s="40">
        <f t="shared" si="44"/>
        <v>0</v>
      </c>
      <c r="P413" s="4" t="str">
        <f t="shared" si="45"/>
        <v/>
      </c>
      <c r="Q413" s="4" t="str">
        <f t="shared" si="46"/>
        <v/>
      </c>
      <c r="R413" s="4" t="str">
        <f t="shared" si="47"/>
        <v>/</v>
      </c>
      <c r="S413" s="4" t="str">
        <f t="shared" si="48"/>
        <v/>
      </c>
    </row>
    <row r="414" spans="1:19" x14ac:dyDescent="0.35">
      <c r="A414" s="54"/>
      <c r="B414" s="57"/>
      <c r="C414" s="60"/>
      <c r="D414" s="66" t="str">
        <f t="shared" si="42"/>
        <v/>
      </c>
      <c r="E414" s="64" t="str">
        <f>IF(OR(C414="",A414=""),"",IF(A414&lt;'Page de garde'!$G$7,IF(VALUE(RIGHT(C414,2))&lt;50,66,86),INDEX(EC!$C$2:$C$677,MATCH(C414,EC,0))))</f>
        <v/>
      </c>
      <c r="F414" s="33" t="str">
        <f t="shared" si="43"/>
        <v/>
      </c>
      <c r="G414" s="38"/>
      <c r="H414" s="38"/>
      <c r="I414" s="38"/>
      <c r="J414" s="36"/>
      <c r="K414" s="29"/>
      <c r="L414" s="29"/>
      <c r="M414" s="31"/>
      <c r="N414" s="40">
        <f t="shared" si="44"/>
        <v>0</v>
      </c>
      <c r="P414" s="4" t="str">
        <f t="shared" si="45"/>
        <v/>
      </c>
      <c r="Q414" s="4" t="str">
        <f t="shared" si="46"/>
        <v/>
      </c>
      <c r="R414" s="4" t="str">
        <f t="shared" si="47"/>
        <v>/</v>
      </c>
      <c r="S414" s="4" t="str">
        <f t="shared" si="48"/>
        <v/>
      </c>
    </row>
    <row r="415" spans="1:19" x14ac:dyDescent="0.35">
      <c r="A415" s="54"/>
      <c r="B415" s="57"/>
      <c r="C415" s="60"/>
      <c r="D415" s="66" t="str">
        <f t="shared" si="42"/>
        <v/>
      </c>
      <c r="E415" s="64" t="str">
        <f>IF(OR(C415="",A415=""),"",IF(A415&lt;'Page de garde'!$G$7,IF(VALUE(RIGHT(C415,2))&lt;50,66,86),INDEX(EC!$C$2:$C$677,MATCH(C415,EC,0))))</f>
        <v/>
      </c>
      <c r="F415" s="33" t="str">
        <f t="shared" si="43"/>
        <v/>
      </c>
      <c r="G415" s="38"/>
      <c r="H415" s="38"/>
      <c r="I415" s="38"/>
      <c r="J415" s="36"/>
      <c r="K415" s="29"/>
      <c r="L415" s="29"/>
      <c r="M415" s="31"/>
      <c r="N415" s="40">
        <f t="shared" si="44"/>
        <v>0</v>
      </c>
      <c r="P415" s="4" t="str">
        <f t="shared" si="45"/>
        <v/>
      </c>
      <c r="Q415" s="4" t="str">
        <f t="shared" si="46"/>
        <v/>
      </c>
      <c r="R415" s="4" t="str">
        <f t="shared" si="47"/>
        <v>/</v>
      </c>
      <c r="S415" s="4" t="str">
        <f t="shared" si="48"/>
        <v/>
      </c>
    </row>
    <row r="416" spans="1:19" x14ac:dyDescent="0.35">
      <c r="A416" s="54"/>
      <c r="B416" s="57"/>
      <c r="C416" s="60"/>
      <c r="D416" s="66" t="str">
        <f t="shared" si="42"/>
        <v/>
      </c>
      <c r="E416" s="64" t="str">
        <f>IF(OR(C416="",A416=""),"",IF(A416&lt;'Page de garde'!$G$7,IF(VALUE(RIGHT(C416,2))&lt;50,66,86),INDEX(EC!$C$2:$C$677,MATCH(C416,EC,0))))</f>
        <v/>
      </c>
      <c r="F416" s="33" t="str">
        <f t="shared" si="43"/>
        <v/>
      </c>
      <c r="G416" s="38"/>
      <c r="H416" s="38"/>
      <c r="I416" s="38"/>
      <c r="J416" s="36"/>
      <c r="K416" s="29"/>
      <c r="L416" s="29"/>
      <c r="M416" s="31"/>
      <c r="N416" s="40">
        <f t="shared" si="44"/>
        <v>0</v>
      </c>
      <c r="P416" s="4" t="str">
        <f t="shared" si="45"/>
        <v/>
      </c>
      <c r="Q416" s="4" t="str">
        <f t="shared" si="46"/>
        <v/>
      </c>
      <c r="R416" s="4" t="str">
        <f t="shared" si="47"/>
        <v>/</v>
      </c>
      <c r="S416" s="4" t="str">
        <f t="shared" si="48"/>
        <v/>
      </c>
    </row>
    <row r="417" spans="1:19" x14ac:dyDescent="0.35">
      <c r="A417" s="54"/>
      <c r="B417" s="57"/>
      <c r="C417" s="60"/>
      <c r="D417" s="66" t="str">
        <f t="shared" si="42"/>
        <v/>
      </c>
      <c r="E417" s="64" t="str">
        <f>IF(OR(C417="",A417=""),"",IF(A417&lt;'Page de garde'!$G$7,IF(VALUE(RIGHT(C417,2))&lt;50,66,86),INDEX(EC!$C$2:$C$677,MATCH(C417,EC,0))))</f>
        <v/>
      </c>
      <c r="F417" s="33" t="str">
        <f t="shared" si="43"/>
        <v/>
      </c>
      <c r="G417" s="38"/>
      <c r="H417" s="38"/>
      <c r="I417" s="38"/>
      <c r="J417" s="36"/>
      <c r="K417" s="29"/>
      <c r="L417" s="29"/>
      <c r="M417" s="31"/>
      <c r="N417" s="40">
        <f t="shared" si="44"/>
        <v>0</v>
      </c>
      <c r="P417" s="4" t="str">
        <f t="shared" si="45"/>
        <v/>
      </c>
      <c r="Q417" s="4" t="str">
        <f t="shared" si="46"/>
        <v/>
      </c>
      <c r="R417" s="4" t="str">
        <f t="shared" si="47"/>
        <v>/</v>
      </c>
      <c r="S417" s="4" t="str">
        <f t="shared" si="48"/>
        <v/>
      </c>
    </row>
    <row r="418" spans="1:19" x14ac:dyDescent="0.35">
      <c r="A418" s="54"/>
      <c r="B418" s="57"/>
      <c r="C418" s="60"/>
      <c r="D418" s="66" t="str">
        <f t="shared" si="42"/>
        <v/>
      </c>
      <c r="E418" s="64" t="str">
        <f>IF(OR(C418="",A418=""),"",IF(A418&lt;'Page de garde'!$G$7,IF(VALUE(RIGHT(C418,2))&lt;50,66,86),INDEX(EC!$C$2:$C$677,MATCH(C418,EC,0))))</f>
        <v/>
      </c>
      <c r="F418" s="33" t="str">
        <f t="shared" si="43"/>
        <v/>
      </c>
      <c r="G418" s="38"/>
      <c r="H418" s="38"/>
      <c r="I418" s="38"/>
      <c r="J418" s="36"/>
      <c r="K418" s="29"/>
      <c r="L418" s="29"/>
      <c r="M418" s="31"/>
      <c r="N418" s="40">
        <f t="shared" si="44"/>
        <v>0</v>
      </c>
      <c r="P418" s="4" t="str">
        <f t="shared" si="45"/>
        <v/>
      </c>
      <c r="Q418" s="4" t="str">
        <f t="shared" si="46"/>
        <v/>
      </c>
      <c r="R418" s="4" t="str">
        <f t="shared" si="47"/>
        <v>/</v>
      </c>
      <c r="S418" s="4" t="str">
        <f t="shared" si="48"/>
        <v/>
      </c>
    </row>
    <row r="419" spans="1:19" x14ac:dyDescent="0.35">
      <c r="A419" s="54"/>
      <c r="B419" s="57"/>
      <c r="C419" s="60"/>
      <c r="D419" s="66" t="str">
        <f t="shared" si="42"/>
        <v/>
      </c>
      <c r="E419" s="64" t="str">
        <f>IF(OR(C419="",A419=""),"",IF(A419&lt;'Page de garde'!$G$7,IF(VALUE(RIGHT(C419,2))&lt;50,66,86),INDEX(EC!$C$2:$C$677,MATCH(C419,EC,0))))</f>
        <v/>
      </c>
      <c r="F419" s="33" t="str">
        <f t="shared" si="43"/>
        <v/>
      </c>
      <c r="G419" s="38"/>
      <c r="H419" s="38"/>
      <c r="I419" s="38"/>
      <c r="J419" s="36"/>
      <c r="K419" s="29"/>
      <c r="L419" s="29"/>
      <c r="M419" s="31"/>
      <c r="N419" s="40">
        <f t="shared" si="44"/>
        <v>0</v>
      </c>
      <c r="P419" s="4" t="str">
        <f t="shared" si="45"/>
        <v/>
      </c>
      <c r="Q419" s="4" t="str">
        <f t="shared" si="46"/>
        <v/>
      </c>
      <c r="R419" s="4" t="str">
        <f t="shared" si="47"/>
        <v>/</v>
      </c>
      <c r="S419" s="4" t="str">
        <f t="shared" si="48"/>
        <v/>
      </c>
    </row>
    <row r="420" spans="1:19" x14ac:dyDescent="0.35">
      <c r="A420" s="54"/>
      <c r="B420" s="57"/>
      <c r="C420" s="60"/>
      <c r="D420" s="66" t="str">
        <f t="shared" si="42"/>
        <v/>
      </c>
      <c r="E420" s="64" t="str">
        <f>IF(OR(C420="",A420=""),"",IF(A420&lt;'Page de garde'!$G$7,IF(VALUE(RIGHT(C420,2))&lt;50,66,86),INDEX(EC!$C$2:$C$677,MATCH(C420,EC,0))))</f>
        <v/>
      </c>
      <c r="F420" s="33" t="str">
        <f t="shared" si="43"/>
        <v/>
      </c>
      <c r="G420" s="38"/>
      <c r="H420" s="38"/>
      <c r="I420" s="38"/>
      <c r="J420" s="36"/>
      <c r="K420" s="29"/>
      <c r="L420" s="29"/>
      <c r="M420" s="31"/>
      <c r="N420" s="40">
        <f t="shared" si="44"/>
        <v>0</v>
      </c>
      <c r="P420" s="4" t="str">
        <f t="shared" si="45"/>
        <v/>
      </c>
      <c r="Q420" s="4" t="str">
        <f t="shared" si="46"/>
        <v/>
      </c>
      <c r="R420" s="4" t="str">
        <f t="shared" si="47"/>
        <v>/</v>
      </c>
      <c r="S420" s="4" t="str">
        <f t="shared" si="48"/>
        <v/>
      </c>
    </row>
    <row r="421" spans="1:19" x14ac:dyDescent="0.35">
      <c r="A421" s="54"/>
      <c r="B421" s="57"/>
      <c r="C421" s="60"/>
      <c r="D421" s="66" t="str">
        <f t="shared" si="42"/>
        <v/>
      </c>
      <c r="E421" s="64" t="str">
        <f>IF(OR(C421="",A421=""),"",IF(A421&lt;'Page de garde'!$G$7,IF(VALUE(RIGHT(C421,2))&lt;50,66,86),INDEX(EC!$C$2:$C$677,MATCH(C421,EC,0))))</f>
        <v/>
      </c>
      <c r="F421" s="33" t="str">
        <f t="shared" ref="F421:F452" si="49">IF(C421="","",INDEX(OmEC,MATCH(C421,EC,0)))</f>
        <v/>
      </c>
      <c r="G421" s="38"/>
      <c r="H421" s="38"/>
      <c r="I421" s="38"/>
      <c r="J421" s="36"/>
      <c r="K421" s="29"/>
      <c r="L421" s="29"/>
      <c r="M421" s="31"/>
      <c r="N421" s="40">
        <f t="shared" si="44"/>
        <v>0</v>
      </c>
      <c r="P421" s="4" t="str">
        <f t="shared" si="45"/>
        <v/>
      </c>
      <c r="Q421" s="4" t="str">
        <f t="shared" si="46"/>
        <v/>
      </c>
      <c r="R421" s="4" t="str">
        <f t="shared" si="47"/>
        <v>/</v>
      </c>
      <c r="S421" s="4" t="str">
        <f t="shared" si="48"/>
        <v/>
      </c>
    </row>
    <row r="422" spans="1:19" x14ac:dyDescent="0.35">
      <c r="A422" s="54"/>
      <c r="B422" s="57"/>
      <c r="C422" s="60"/>
      <c r="D422" s="66" t="str">
        <f t="shared" si="42"/>
        <v/>
      </c>
      <c r="E422" s="64" t="str">
        <f>IF(OR(C422="",A422=""),"",IF(A422&lt;'Page de garde'!$G$7,IF(VALUE(RIGHT(C422,2))&lt;50,66,86),INDEX(EC!$C$2:$C$677,MATCH(C422,EC,0))))</f>
        <v/>
      </c>
      <c r="F422" s="33" t="str">
        <f t="shared" si="49"/>
        <v/>
      </c>
      <c r="G422" s="38"/>
      <c r="H422" s="38"/>
      <c r="I422" s="38"/>
      <c r="J422" s="36"/>
      <c r="K422" s="29"/>
      <c r="L422" s="29"/>
      <c r="M422" s="31"/>
      <c r="N422" s="40">
        <f t="shared" si="44"/>
        <v>0</v>
      </c>
      <c r="P422" s="4" t="str">
        <f t="shared" si="45"/>
        <v/>
      </c>
      <c r="Q422" s="4" t="str">
        <f t="shared" si="46"/>
        <v/>
      </c>
      <c r="R422" s="4" t="str">
        <f t="shared" si="47"/>
        <v>/</v>
      </c>
      <c r="S422" s="4" t="str">
        <f t="shared" si="48"/>
        <v/>
      </c>
    </row>
    <row r="423" spans="1:19" x14ac:dyDescent="0.35">
      <c r="A423" s="54"/>
      <c r="B423" s="57"/>
      <c r="C423" s="60"/>
      <c r="D423" s="66" t="str">
        <f t="shared" si="42"/>
        <v/>
      </c>
      <c r="E423" s="64" t="str">
        <f>IF(OR(C423="",A423=""),"",IF(A423&lt;'Page de garde'!$G$7,IF(VALUE(RIGHT(C423,2))&lt;50,66,86),INDEX(EC!$C$2:$C$677,MATCH(C423,EC,0))))</f>
        <v/>
      </c>
      <c r="F423" s="33" t="str">
        <f t="shared" si="49"/>
        <v/>
      </c>
      <c r="G423" s="38"/>
      <c r="H423" s="38"/>
      <c r="I423" s="38"/>
      <c r="J423" s="36"/>
      <c r="K423" s="29"/>
      <c r="L423" s="29"/>
      <c r="M423" s="31"/>
      <c r="N423" s="40">
        <f t="shared" si="44"/>
        <v>0</v>
      </c>
      <c r="P423" s="4" t="str">
        <f t="shared" si="45"/>
        <v/>
      </c>
      <c r="Q423" s="4" t="str">
        <f t="shared" si="46"/>
        <v/>
      </c>
      <c r="R423" s="4" t="str">
        <f t="shared" si="47"/>
        <v>/</v>
      </c>
      <c r="S423" s="4" t="str">
        <f t="shared" si="48"/>
        <v/>
      </c>
    </row>
    <row r="424" spans="1:19" x14ac:dyDescent="0.35">
      <c r="A424" s="54"/>
      <c r="B424" s="57"/>
      <c r="C424" s="60"/>
      <c r="D424" s="66" t="str">
        <f t="shared" si="42"/>
        <v/>
      </c>
      <c r="E424" s="64" t="str">
        <f>IF(OR(C424="",A424=""),"",IF(A424&lt;'Page de garde'!$G$7,IF(VALUE(RIGHT(C424,2))&lt;50,66,86),INDEX(EC!$C$2:$C$677,MATCH(C424,EC,0))))</f>
        <v/>
      </c>
      <c r="F424" s="33" t="str">
        <f t="shared" si="49"/>
        <v/>
      </c>
      <c r="G424" s="38"/>
      <c r="H424" s="38"/>
      <c r="I424" s="38"/>
      <c r="J424" s="36"/>
      <c r="K424" s="29"/>
      <c r="L424" s="29"/>
      <c r="M424" s="31"/>
      <c r="N424" s="40">
        <f t="shared" si="44"/>
        <v>0</v>
      </c>
      <c r="P424" s="4" t="str">
        <f t="shared" si="45"/>
        <v/>
      </c>
      <c r="Q424" s="4" t="str">
        <f t="shared" si="46"/>
        <v/>
      </c>
      <c r="R424" s="4" t="str">
        <f t="shared" si="47"/>
        <v>/</v>
      </c>
      <c r="S424" s="4" t="str">
        <f t="shared" si="48"/>
        <v/>
      </c>
    </row>
    <row r="425" spans="1:19" x14ac:dyDescent="0.35">
      <c r="A425" s="54"/>
      <c r="B425" s="57"/>
      <c r="C425" s="60"/>
      <c r="D425" s="66" t="str">
        <f t="shared" si="42"/>
        <v/>
      </c>
      <c r="E425" s="64" t="str">
        <f>IF(OR(C425="",A425=""),"",IF(A425&lt;'Page de garde'!$G$7,IF(VALUE(RIGHT(C425,2))&lt;50,66,86),INDEX(EC!$C$2:$C$677,MATCH(C425,EC,0))))</f>
        <v/>
      </c>
      <c r="F425" s="33" t="str">
        <f t="shared" si="49"/>
        <v/>
      </c>
      <c r="G425" s="38"/>
      <c r="H425" s="38"/>
      <c r="I425" s="38"/>
      <c r="J425" s="36"/>
      <c r="K425" s="29"/>
      <c r="L425" s="29"/>
      <c r="M425" s="31"/>
      <c r="N425" s="40">
        <f t="shared" si="44"/>
        <v>0</v>
      </c>
      <c r="P425" s="4" t="str">
        <f t="shared" si="45"/>
        <v/>
      </c>
      <c r="Q425" s="4" t="str">
        <f t="shared" si="46"/>
        <v/>
      </c>
      <c r="R425" s="4" t="str">
        <f t="shared" si="47"/>
        <v>/</v>
      </c>
      <c r="S425" s="4" t="str">
        <f t="shared" si="48"/>
        <v/>
      </c>
    </row>
    <row r="426" spans="1:19" x14ac:dyDescent="0.35">
      <c r="A426" s="54"/>
      <c r="B426" s="57"/>
      <c r="C426" s="60"/>
      <c r="D426" s="66" t="str">
        <f t="shared" si="42"/>
        <v/>
      </c>
      <c r="E426" s="64" t="str">
        <f>IF(OR(C426="",A426=""),"",IF(A426&lt;'Page de garde'!$G$7,IF(VALUE(RIGHT(C426,2))&lt;50,66,86),INDEX(EC!$C$2:$C$677,MATCH(C426,EC,0))))</f>
        <v/>
      </c>
      <c r="F426" s="33" t="str">
        <f t="shared" si="49"/>
        <v/>
      </c>
      <c r="G426" s="38"/>
      <c r="H426" s="38"/>
      <c r="I426" s="38"/>
      <c r="J426" s="36"/>
      <c r="K426" s="29"/>
      <c r="L426" s="29"/>
      <c r="M426" s="31"/>
      <c r="N426" s="40">
        <f t="shared" si="44"/>
        <v>0</v>
      </c>
      <c r="P426" s="4" t="str">
        <f t="shared" si="45"/>
        <v/>
      </c>
      <c r="Q426" s="4" t="str">
        <f t="shared" si="46"/>
        <v/>
      </c>
      <c r="R426" s="4" t="str">
        <f t="shared" si="47"/>
        <v>/</v>
      </c>
      <c r="S426" s="4" t="str">
        <f t="shared" si="48"/>
        <v/>
      </c>
    </row>
    <row r="427" spans="1:19" x14ac:dyDescent="0.35">
      <c r="A427" s="54"/>
      <c r="B427" s="57"/>
      <c r="C427" s="60"/>
      <c r="D427" s="66" t="str">
        <f t="shared" si="42"/>
        <v/>
      </c>
      <c r="E427" s="64" t="str">
        <f>IF(OR(C427="",A427=""),"",IF(A427&lt;'Page de garde'!$G$7,IF(VALUE(RIGHT(C427,2))&lt;50,66,86),INDEX(EC!$C$2:$C$677,MATCH(C427,EC,0))))</f>
        <v/>
      </c>
      <c r="F427" s="33" t="str">
        <f t="shared" si="49"/>
        <v/>
      </c>
      <c r="G427" s="38"/>
      <c r="H427" s="38"/>
      <c r="I427" s="38"/>
      <c r="J427" s="36"/>
      <c r="K427" s="29"/>
      <c r="L427" s="29"/>
      <c r="M427" s="31"/>
      <c r="N427" s="40">
        <f t="shared" si="44"/>
        <v>0</v>
      </c>
      <c r="P427" s="4" t="str">
        <f t="shared" si="45"/>
        <v/>
      </c>
      <c r="Q427" s="4" t="str">
        <f t="shared" si="46"/>
        <v/>
      </c>
      <c r="R427" s="4" t="str">
        <f t="shared" si="47"/>
        <v>/</v>
      </c>
      <c r="S427" s="4" t="str">
        <f t="shared" si="48"/>
        <v/>
      </c>
    </row>
    <row r="428" spans="1:19" x14ac:dyDescent="0.35">
      <c r="A428" s="54"/>
      <c r="B428" s="57"/>
      <c r="C428" s="60"/>
      <c r="D428" s="66" t="str">
        <f t="shared" si="42"/>
        <v/>
      </c>
      <c r="E428" s="64" t="str">
        <f>IF(OR(C428="",A428=""),"",IF(A428&lt;'Page de garde'!$G$7,IF(VALUE(RIGHT(C428,2))&lt;50,66,86),INDEX(EC!$C$2:$C$677,MATCH(C428,EC,0))))</f>
        <v/>
      </c>
      <c r="F428" s="33" t="str">
        <f t="shared" si="49"/>
        <v/>
      </c>
      <c r="G428" s="38"/>
      <c r="H428" s="38"/>
      <c r="I428" s="38"/>
      <c r="J428" s="36"/>
      <c r="K428" s="29"/>
      <c r="L428" s="29"/>
      <c r="M428" s="31"/>
      <c r="N428" s="40">
        <f t="shared" si="44"/>
        <v>0</v>
      </c>
      <c r="P428" s="4" t="str">
        <f t="shared" si="45"/>
        <v/>
      </c>
      <c r="Q428" s="4" t="str">
        <f t="shared" si="46"/>
        <v/>
      </c>
      <c r="R428" s="4" t="str">
        <f t="shared" si="47"/>
        <v>/</v>
      </c>
      <c r="S428" s="4" t="str">
        <f t="shared" si="48"/>
        <v/>
      </c>
    </row>
    <row r="429" spans="1:19" x14ac:dyDescent="0.35">
      <c r="A429" s="54"/>
      <c r="B429" s="57"/>
      <c r="C429" s="60"/>
      <c r="D429" s="66" t="str">
        <f t="shared" si="42"/>
        <v/>
      </c>
      <c r="E429" s="64" t="str">
        <f>IF(OR(C429="",A429=""),"",IF(A429&lt;'Page de garde'!$G$7,IF(VALUE(RIGHT(C429,2))&lt;50,66,86),INDEX(EC!$C$2:$C$677,MATCH(C429,EC,0))))</f>
        <v/>
      </c>
      <c r="F429" s="33" t="str">
        <f t="shared" si="49"/>
        <v/>
      </c>
      <c r="G429" s="38"/>
      <c r="H429" s="38"/>
      <c r="I429" s="38"/>
      <c r="J429" s="36"/>
      <c r="K429" s="29"/>
      <c r="L429" s="29"/>
      <c r="M429" s="31"/>
      <c r="N429" s="40">
        <f t="shared" si="44"/>
        <v>0</v>
      </c>
      <c r="P429" s="4" t="str">
        <f t="shared" si="45"/>
        <v/>
      </c>
      <c r="Q429" s="4" t="str">
        <f t="shared" si="46"/>
        <v/>
      </c>
      <c r="R429" s="4" t="str">
        <f t="shared" si="47"/>
        <v>/</v>
      </c>
      <c r="S429" s="4" t="str">
        <f t="shared" si="48"/>
        <v/>
      </c>
    </row>
    <row r="430" spans="1:19" x14ac:dyDescent="0.35">
      <c r="A430" s="54"/>
      <c r="B430" s="57"/>
      <c r="C430" s="60"/>
      <c r="D430" s="66" t="str">
        <f t="shared" si="42"/>
        <v/>
      </c>
      <c r="E430" s="64" t="str">
        <f>IF(OR(C430="",A430=""),"",IF(A430&lt;'Page de garde'!$G$7,IF(VALUE(RIGHT(C430,2))&lt;50,66,86),INDEX(EC!$C$2:$C$677,MATCH(C430,EC,0))))</f>
        <v/>
      </c>
      <c r="F430" s="33" t="str">
        <f t="shared" si="49"/>
        <v/>
      </c>
      <c r="G430" s="38"/>
      <c r="H430" s="38"/>
      <c r="I430" s="38"/>
      <c r="J430" s="36"/>
      <c r="K430" s="29"/>
      <c r="L430" s="29"/>
      <c r="M430" s="31"/>
      <c r="N430" s="40">
        <f t="shared" si="44"/>
        <v>0</v>
      </c>
      <c r="P430" s="4" t="str">
        <f t="shared" si="45"/>
        <v/>
      </c>
      <c r="Q430" s="4" t="str">
        <f t="shared" si="46"/>
        <v/>
      </c>
      <c r="R430" s="4" t="str">
        <f t="shared" si="47"/>
        <v>/</v>
      </c>
      <c r="S430" s="4" t="str">
        <f t="shared" si="48"/>
        <v/>
      </c>
    </row>
    <row r="431" spans="1:19" x14ac:dyDescent="0.35">
      <c r="A431" s="54"/>
      <c r="B431" s="57"/>
      <c r="C431" s="60"/>
      <c r="D431" s="66" t="str">
        <f t="shared" si="42"/>
        <v/>
      </c>
      <c r="E431" s="64" t="str">
        <f>IF(OR(C431="",A431=""),"",IF(A431&lt;'Page de garde'!$G$7,IF(VALUE(RIGHT(C431,2))&lt;50,66,86),INDEX(EC!$C$2:$C$677,MATCH(C431,EC,0))))</f>
        <v/>
      </c>
      <c r="F431" s="33" t="str">
        <f t="shared" si="49"/>
        <v/>
      </c>
      <c r="G431" s="38"/>
      <c r="H431" s="38"/>
      <c r="I431" s="38"/>
      <c r="J431" s="36"/>
      <c r="K431" s="29"/>
      <c r="L431" s="29"/>
      <c r="M431" s="31"/>
      <c r="N431" s="40">
        <f t="shared" si="44"/>
        <v>0</v>
      </c>
      <c r="P431" s="4" t="str">
        <f t="shared" si="45"/>
        <v/>
      </c>
      <c r="Q431" s="4" t="str">
        <f t="shared" si="46"/>
        <v/>
      </c>
      <c r="R431" s="4" t="str">
        <f t="shared" si="47"/>
        <v>/</v>
      </c>
      <c r="S431" s="4" t="str">
        <f t="shared" si="48"/>
        <v/>
      </c>
    </row>
    <row r="432" spans="1:19" x14ac:dyDescent="0.35">
      <c r="A432" s="54"/>
      <c r="B432" s="57"/>
      <c r="C432" s="60"/>
      <c r="D432" s="66" t="str">
        <f t="shared" si="42"/>
        <v/>
      </c>
      <c r="E432" s="64" t="str">
        <f>IF(OR(C432="",A432=""),"",IF(A432&lt;'Page de garde'!$G$7,IF(VALUE(RIGHT(C432,2))&lt;50,66,86),INDEX(EC!$C$2:$C$677,MATCH(C432,EC,0))))</f>
        <v/>
      </c>
      <c r="F432" s="33" t="str">
        <f t="shared" si="49"/>
        <v/>
      </c>
      <c r="G432" s="38"/>
      <c r="H432" s="38"/>
      <c r="I432" s="38"/>
      <c r="J432" s="36"/>
      <c r="K432" s="29"/>
      <c r="L432" s="29"/>
      <c r="M432" s="31"/>
      <c r="N432" s="40">
        <f t="shared" si="44"/>
        <v>0</v>
      </c>
      <c r="P432" s="4" t="str">
        <f t="shared" si="45"/>
        <v/>
      </c>
      <c r="Q432" s="4" t="str">
        <f t="shared" si="46"/>
        <v/>
      </c>
      <c r="R432" s="4" t="str">
        <f t="shared" si="47"/>
        <v>/</v>
      </c>
      <c r="S432" s="4" t="str">
        <f t="shared" si="48"/>
        <v/>
      </c>
    </row>
    <row r="433" spans="1:19" x14ac:dyDescent="0.35">
      <c r="A433" s="54"/>
      <c r="B433" s="57"/>
      <c r="C433" s="60"/>
      <c r="D433" s="66" t="str">
        <f t="shared" si="42"/>
        <v/>
      </c>
      <c r="E433" s="64" t="str">
        <f>IF(OR(C433="",A433=""),"",IF(A433&lt;'Page de garde'!$G$7,IF(VALUE(RIGHT(C433,2))&lt;50,66,86),INDEX(EC!$C$2:$C$677,MATCH(C433,EC,0))))</f>
        <v/>
      </c>
      <c r="F433" s="33" t="str">
        <f t="shared" si="49"/>
        <v/>
      </c>
      <c r="G433" s="38"/>
      <c r="H433" s="38"/>
      <c r="I433" s="38"/>
      <c r="J433" s="36"/>
      <c r="K433" s="29"/>
      <c r="L433" s="29"/>
      <c r="M433" s="31"/>
      <c r="N433" s="40">
        <f t="shared" si="44"/>
        <v>0</v>
      </c>
      <c r="P433" s="4" t="str">
        <f t="shared" si="45"/>
        <v/>
      </c>
      <c r="Q433" s="4" t="str">
        <f t="shared" si="46"/>
        <v/>
      </c>
      <c r="R433" s="4" t="str">
        <f t="shared" si="47"/>
        <v>/</v>
      </c>
      <c r="S433" s="4" t="str">
        <f t="shared" si="48"/>
        <v/>
      </c>
    </row>
    <row r="434" spans="1:19" x14ac:dyDescent="0.35">
      <c r="A434" s="54"/>
      <c r="B434" s="57"/>
      <c r="C434" s="60"/>
      <c r="D434" s="66" t="str">
        <f t="shared" si="42"/>
        <v/>
      </c>
      <c r="E434" s="64" t="str">
        <f>IF(OR(C434="",A434=""),"",IF(A434&lt;'Page de garde'!$G$7,IF(VALUE(RIGHT(C434,2))&lt;50,66,86),INDEX(EC!$C$2:$C$677,MATCH(C434,EC,0))))</f>
        <v/>
      </c>
      <c r="F434" s="33" t="str">
        <f t="shared" si="49"/>
        <v/>
      </c>
      <c r="G434" s="38"/>
      <c r="H434" s="38"/>
      <c r="I434" s="38"/>
      <c r="J434" s="36"/>
      <c r="K434" s="29"/>
      <c r="L434" s="29"/>
      <c r="M434" s="31"/>
      <c r="N434" s="40">
        <f t="shared" si="44"/>
        <v>0</v>
      </c>
      <c r="P434" s="4" t="str">
        <f t="shared" si="45"/>
        <v/>
      </c>
      <c r="Q434" s="4" t="str">
        <f t="shared" si="46"/>
        <v/>
      </c>
      <c r="R434" s="4" t="str">
        <f t="shared" si="47"/>
        <v>/</v>
      </c>
      <c r="S434" s="4" t="str">
        <f t="shared" si="48"/>
        <v/>
      </c>
    </row>
    <row r="435" spans="1:19" x14ac:dyDescent="0.35">
      <c r="A435" s="54"/>
      <c r="B435" s="57"/>
      <c r="C435" s="60"/>
      <c r="D435" s="66" t="str">
        <f t="shared" si="42"/>
        <v/>
      </c>
      <c r="E435" s="64" t="str">
        <f>IF(OR(C435="",A435=""),"",IF(A435&lt;'Page de garde'!$G$7,IF(VALUE(RIGHT(C435,2))&lt;50,66,86),INDEX(EC!$C$2:$C$677,MATCH(C435,EC,0))))</f>
        <v/>
      </c>
      <c r="F435" s="33" t="str">
        <f t="shared" si="49"/>
        <v/>
      </c>
      <c r="G435" s="38"/>
      <c r="H435" s="38"/>
      <c r="I435" s="38"/>
      <c r="J435" s="36"/>
      <c r="K435" s="29"/>
      <c r="L435" s="29"/>
      <c r="M435" s="31"/>
      <c r="N435" s="40">
        <f t="shared" si="44"/>
        <v>0</v>
      </c>
      <c r="P435" s="4" t="str">
        <f t="shared" si="45"/>
        <v/>
      </c>
      <c r="Q435" s="4" t="str">
        <f t="shared" si="46"/>
        <v/>
      </c>
      <c r="R435" s="4" t="str">
        <f t="shared" si="47"/>
        <v>/</v>
      </c>
      <c r="S435" s="4" t="str">
        <f t="shared" si="48"/>
        <v/>
      </c>
    </row>
    <row r="436" spans="1:19" x14ac:dyDescent="0.35">
      <c r="A436" s="54"/>
      <c r="B436" s="57"/>
      <c r="C436" s="60"/>
      <c r="D436" s="66" t="str">
        <f t="shared" si="42"/>
        <v/>
      </c>
      <c r="E436" s="64" t="str">
        <f>IF(OR(C436="",A436=""),"",IF(A436&lt;'Page de garde'!$G$7,IF(VALUE(RIGHT(C436,2))&lt;50,66,86),INDEX(EC!$C$2:$C$677,MATCH(C436,EC,0))))</f>
        <v/>
      </c>
      <c r="F436" s="33" t="str">
        <f t="shared" si="49"/>
        <v/>
      </c>
      <c r="G436" s="38"/>
      <c r="H436" s="38"/>
      <c r="I436" s="38"/>
      <c r="J436" s="36"/>
      <c r="K436" s="29"/>
      <c r="L436" s="29"/>
      <c r="M436" s="31"/>
      <c r="N436" s="40">
        <f t="shared" si="44"/>
        <v>0</v>
      </c>
      <c r="P436" s="4" t="str">
        <f t="shared" si="45"/>
        <v/>
      </c>
      <c r="Q436" s="4" t="str">
        <f t="shared" si="46"/>
        <v/>
      </c>
      <c r="R436" s="4" t="str">
        <f t="shared" si="47"/>
        <v>/</v>
      </c>
      <c r="S436" s="4" t="str">
        <f t="shared" si="48"/>
        <v/>
      </c>
    </row>
    <row r="437" spans="1:19" x14ac:dyDescent="0.35">
      <c r="A437" s="54"/>
      <c r="B437" s="57"/>
      <c r="C437" s="60"/>
      <c r="D437" s="66" t="str">
        <f t="shared" si="42"/>
        <v/>
      </c>
      <c r="E437" s="64" t="str">
        <f>IF(OR(C437="",A437=""),"",IF(A437&lt;'Page de garde'!$G$7,IF(VALUE(RIGHT(C437,2))&lt;50,66,86),INDEX(EC!$C$2:$C$677,MATCH(C437,EC,0))))</f>
        <v/>
      </c>
      <c r="F437" s="33" t="str">
        <f t="shared" si="49"/>
        <v/>
      </c>
      <c r="G437" s="38"/>
      <c r="H437" s="38"/>
      <c r="I437" s="38"/>
      <c r="J437" s="36"/>
      <c r="K437" s="29"/>
      <c r="L437" s="29"/>
      <c r="M437" s="31"/>
      <c r="N437" s="40">
        <f t="shared" si="44"/>
        <v>0</v>
      </c>
      <c r="P437" s="4" t="str">
        <f t="shared" si="45"/>
        <v/>
      </c>
      <c r="Q437" s="4" t="str">
        <f t="shared" si="46"/>
        <v/>
      </c>
      <c r="R437" s="4" t="str">
        <f t="shared" si="47"/>
        <v>/</v>
      </c>
      <c r="S437" s="4" t="str">
        <f t="shared" si="48"/>
        <v/>
      </c>
    </row>
    <row r="438" spans="1:19" x14ac:dyDescent="0.35">
      <c r="A438" s="54"/>
      <c r="B438" s="57"/>
      <c r="C438" s="60"/>
      <c r="D438" s="66" t="str">
        <f t="shared" si="42"/>
        <v/>
      </c>
      <c r="E438" s="64" t="str">
        <f>IF(OR(C438="",A438=""),"",IF(A438&lt;'Page de garde'!$G$7,IF(VALUE(RIGHT(C438,2))&lt;50,66,86),INDEX(EC!$C$2:$C$677,MATCH(C438,EC,0))))</f>
        <v/>
      </c>
      <c r="F438" s="33" t="str">
        <f t="shared" si="49"/>
        <v/>
      </c>
      <c r="G438" s="38"/>
      <c r="H438" s="38"/>
      <c r="I438" s="38"/>
      <c r="J438" s="36"/>
      <c r="K438" s="29"/>
      <c r="L438" s="29"/>
      <c r="M438" s="31"/>
      <c r="N438" s="40">
        <f t="shared" si="44"/>
        <v>0</v>
      </c>
      <c r="P438" s="4" t="str">
        <f t="shared" si="45"/>
        <v/>
      </c>
      <c r="Q438" s="4" t="str">
        <f t="shared" si="46"/>
        <v/>
      </c>
      <c r="R438" s="4" t="str">
        <f t="shared" si="47"/>
        <v>/</v>
      </c>
      <c r="S438" s="4" t="str">
        <f t="shared" si="48"/>
        <v/>
      </c>
    </row>
    <row r="439" spans="1:19" x14ac:dyDescent="0.35">
      <c r="A439" s="54"/>
      <c r="B439" s="57"/>
      <c r="C439" s="60"/>
      <c r="D439" s="66" t="str">
        <f t="shared" si="42"/>
        <v/>
      </c>
      <c r="E439" s="64" t="str">
        <f>IF(OR(C439="",A439=""),"",IF(A439&lt;'Page de garde'!$G$7,IF(VALUE(RIGHT(C439,2))&lt;50,66,86),INDEX(EC!$C$2:$C$677,MATCH(C439,EC,0))))</f>
        <v/>
      </c>
      <c r="F439" s="33" t="str">
        <f t="shared" si="49"/>
        <v/>
      </c>
      <c r="G439" s="38"/>
      <c r="H439" s="38"/>
      <c r="I439" s="38"/>
      <c r="J439" s="36"/>
      <c r="K439" s="29"/>
      <c r="L439" s="29"/>
      <c r="M439" s="31"/>
      <c r="N439" s="40">
        <f t="shared" si="44"/>
        <v>0</v>
      </c>
      <c r="P439" s="4" t="str">
        <f t="shared" si="45"/>
        <v/>
      </c>
      <c r="Q439" s="4" t="str">
        <f t="shared" si="46"/>
        <v/>
      </c>
      <c r="R439" s="4" t="str">
        <f t="shared" si="47"/>
        <v>/</v>
      </c>
      <c r="S439" s="4" t="str">
        <f t="shared" si="48"/>
        <v/>
      </c>
    </row>
    <row r="440" spans="1:19" x14ac:dyDescent="0.35">
      <c r="A440" s="54"/>
      <c r="B440" s="57"/>
      <c r="C440" s="60"/>
      <c r="D440" s="66" t="str">
        <f t="shared" si="42"/>
        <v/>
      </c>
      <c r="E440" s="64" t="str">
        <f>IF(OR(C440="",A440=""),"",IF(A440&lt;'Page de garde'!$G$7,IF(VALUE(RIGHT(C440,2))&lt;50,66,86),INDEX(EC!$C$2:$C$677,MATCH(C440,EC,0))))</f>
        <v/>
      </c>
      <c r="F440" s="33" t="str">
        <f t="shared" si="49"/>
        <v/>
      </c>
      <c r="G440" s="38"/>
      <c r="H440" s="38"/>
      <c r="I440" s="38"/>
      <c r="J440" s="36"/>
      <c r="K440" s="29"/>
      <c r="L440" s="29"/>
      <c r="M440" s="31"/>
      <c r="N440" s="40">
        <f t="shared" si="44"/>
        <v>0</v>
      </c>
      <c r="P440" s="4" t="str">
        <f t="shared" si="45"/>
        <v/>
      </c>
      <c r="Q440" s="4" t="str">
        <f t="shared" si="46"/>
        <v/>
      </c>
      <c r="R440" s="4" t="str">
        <f t="shared" si="47"/>
        <v>/</v>
      </c>
      <c r="S440" s="4" t="str">
        <f t="shared" si="48"/>
        <v/>
      </c>
    </row>
    <row r="441" spans="1:19" x14ac:dyDescent="0.35">
      <c r="A441" s="54"/>
      <c r="B441" s="57"/>
      <c r="C441" s="60"/>
      <c r="D441" s="66" t="str">
        <f t="shared" si="42"/>
        <v/>
      </c>
      <c r="E441" s="64" t="str">
        <f>IF(OR(C441="",A441=""),"",IF(A441&lt;'Page de garde'!$G$7,IF(VALUE(RIGHT(C441,2))&lt;50,66,86),INDEX(EC!$C$2:$C$677,MATCH(C441,EC,0))))</f>
        <v/>
      </c>
      <c r="F441" s="33" t="str">
        <f t="shared" si="49"/>
        <v/>
      </c>
      <c r="G441" s="38"/>
      <c r="H441" s="38"/>
      <c r="I441" s="38"/>
      <c r="J441" s="36"/>
      <c r="K441" s="29"/>
      <c r="L441" s="29"/>
      <c r="M441" s="31"/>
      <c r="N441" s="40">
        <f t="shared" si="44"/>
        <v>0</v>
      </c>
      <c r="P441" s="4" t="str">
        <f t="shared" si="45"/>
        <v/>
      </c>
      <c r="Q441" s="4" t="str">
        <f t="shared" si="46"/>
        <v/>
      </c>
      <c r="R441" s="4" t="str">
        <f t="shared" si="47"/>
        <v>/</v>
      </c>
      <c r="S441" s="4" t="str">
        <f t="shared" si="48"/>
        <v/>
      </c>
    </row>
    <row r="442" spans="1:19" x14ac:dyDescent="0.35">
      <c r="A442" s="54"/>
      <c r="B442" s="57"/>
      <c r="C442" s="60"/>
      <c r="D442" s="66" t="str">
        <f t="shared" si="42"/>
        <v/>
      </c>
      <c r="E442" s="64" t="str">
        <f>IF(OR(C442="",A442=""),"",IF(A442&lt;'Page de garde'!$G$7,IF(VALUE(RIGHT(C442,2))&lt;50,66,86),INDEX(EC!$C$2:$C$677,MATCH(C442,EC,0))))</f>
        <v/>
      </c>
      <c r="F442" s="33" t="str">
        <f t="shared" si="49"/>
        <v/>
      </c>
      <c r="G442" s="38"/>
      <c r="H442" s="38"/>
      <c r="I442" s="38"/>
      <c r="J442" s="36"/>
      <c r="K442" s="29"/>
      <c r="L442" s="29"/>
      <c r="M442" s="31"/>
      <c r="N442" s="40">
        <f t="shared" si="44"/>
        <v>0</v>
      </c>
      <c r="P442" s="4" t="str">
        <f t="shared" si="45"/>
        <v/>
      </c>
      <c r="Q442" s="4" t="str">
        <f t="shared" si="46"/>
        <v/>
      </c>
      <c r="R442" s="4" t="str">
        <f t="shared" si="47"/>
        <v>/</v>
      </c>
      <c r="S442" s="4" t="str">
        <f t="shared" si="48"/>
        <v/>
      </c>
    </row>
    <row r="443" spans="1:19" x14ac:dyDescent="0.35">
      <c r="A443" s="54"/>
      <c r="B443" s="57"/>
      <c r="C443" s="60"/>
      <c r="D443" s="66" t="str">
        <f t="shared" si="42"/>
        <v/>
      </c>
      <c r="E443" s="64" t="str">
        <f>IF(OR(C443="",A443=""),"",IF(A443&lt;'Page de garde'!$G$7,IF(VALUE(RIGHT(C443,2))&lt;50,66,86),INDEX(EC!$C$2:$C$677,MATCH(C443,EC,0))))</f>
        <v/>
      </c>
      <c r="F443" s="33" t="str">
        <f t="shared" si="49"/>
        <v/>
      </c>
      <c r="G443" s="38"/>
      <c r="H443" s="38"/>
      <c r="I443" s="38"/>
      <c r="J443" s="36"/>
      <c r="K443" s="29"/>
      <c r="L443" s="29"/>
      <c r="M443" s="31"/>
      <c r="N443" s="40">
        <f t="shared" si="44"/>
        <v>0</v>
      </c>
      <c r="P443" s="4" t="str">
        <f t="shared" si="45"/>
        <v/>
      </c>
      <c r="Q443" s="4" t="str">
        <f t="shared" si="46"/>
        <v/>
      </c>
      <c r="R443" s="4" t="str">
        <f t="shared" si="47"/>
        <v>/</v>
      </c>
      <c r="S443" s="4" t="str">
        <f t="shared" si="48"/>
        <v/>
      </c>
    </row>
    <row r="444" spans="1:19" x14ac:dyDescent="0.35">
      <c r="A444" s="54"/>
      <c r="B444" s="57"/>
      <c r="C444" s="60"/>
      <c r="D444" s="66" t="str">
        <f t="shared" si="42"/>
        <v/>
      </c>
      <c r="E444" s="64" t="str">
        <f>IF(OR(C444="",A444=""),"",IF(A444&lt;'Page de garde'!$G$7,IF(VALUE(RIGHT(C444,2))&lt;50,66,86),INDEX(EC!$C$2:$C$677,MATCH(C444,EC,0))))</f>
        <v/>
      </c>
      <c r="F444" s="33" t="str">
        <f t="shared" si="49"/>
        <v/>
      </c>
      <c r="G444" s="38"/>
      <c r="H444" s="38"/>
      <c r="I444" s="38"/>
      <c r="J444" s="36"/>
      <c r="K444" s="29"/>
      <c r="L444" s="29"/>
      <c r="M444" s="31"/>
      <c r="N444" s="40">
        <f t="shared" si="44"/>
        <v>0</v>
      </c>
      <c r="P444" s="4" t="str">
        <f t="shared" si="45"/>
        <v/>
      </c>
      <c r="Q444" s="4" t="str">
        <f t="shared" si="46"/>
        <v/>
      </c>
      <c r="R444" s="4" t="str">
        <f t="shared" si="47"/>
        <v>/</v>
      </c>
      <c r="S444" s="4" t="str">
        <f t="shared" si="48"/>
        <v/>
      </c>
    </row>
    <row r="445" spans="1:19" x14ac:dyDescent="0.35">
      <c r="A445" s="54"/>
      <c r="B445" s="57"/>
      <c r="C445" s="60"/>
      <c r="D445" s="66" t="str">
        <f t="shared" si="42"/>
        <v/>
      </c>
      <c r="E445" s="64" t="str">
        <f>IF(OR(C445="",A445=""),"",IF(A445&lt;'Page de garde'!$G$7,IF(VALUE(RIGHT(C445,2))&lt;50,66,86),INDEX(EC!$C$2:$C$677,MATCH(C445,EC,0))))</f>
        <v/>
      </c>
      <c r="F445" s="33" t="str">
        <f t="shared" si="49"/>
        <v/>
      </c>
      <c r="G445" s="38"/>
      <c r="H445" s="38"/>
      <c r="I445" s="38"/>
      <c r="J445" s="36"/>
      <c r="K445" s="29"/>
      <c r="L445" s="29"/>
      <c r="M445" s="31"/>
      <c r="N445" s="40">
        <f t="shared" si="44"/>
        <v>0</v>
      </c>
      <c r="P445" s="4" t="str">
        <f t="shared" si="45"/>
        <v/>
      </c>
      <c r="Q445" s="4" t="str">
        <f t="shared" si="46"/>
        <v/>
      </c>
      <c r="R445" s="4" t="str">
        <f t="shared" si="47"/>
        <v>/</v>
      </c>
      <c r="S445" s="4" t="str">
        <f t="shared" si="48"/>
        <v/>
      </c>
    </row>
    <row r="446" spans="1:19" x14ac:dyDescent="0.35">
      <c r="A446" s="54"/>
      <c r="B446" s="57"/>
      <c r="C446" s="60"/>
      <c r="D446" s="66" t="str">
        <f t="shared" si="42"/>
        <v/>
      </c>
      <c r="E446" s="64" t="str">
        <f>IF(OR(C446="",A446=""),"",IF(A446&lt;'Page de garde'!$G$7,IF(VALUE(RIGHT(C446,2))&lt;50,66,86),INDEX(EC!$C$2:$C$677,MATCH(C446,EC,0))))</f>
        <v/>
      </c>
      <c r="F446" s="33" t="str">
        <f t="shared" si="49"/>
        <v/>
      </c>
      <c r="G446" s="38"/>
      <c r="H446" s="38"/>
      <c r="I446" s="38"/>
      <c r="J446" s="36"/>
      <c r="K446" s="29"/>
      <c r="L446" s="29"/>
      <c r="M446" s="31"/>
      <c r="N446" s="40">
        <f t="shared" si="44"/>
        <v>0</v>
      </c>
      <c r="P446" s="4" t="str">
        <f t="shared" si="45"/>
        <v/>
      </c>
      <c r="Q446" s="4" t="str">
        <f t="shared" si="46"/>
        <v/>
      </c>
      <c r="R446" s="4" t="str">
        <f t="shared" si="47"/>
        <v>/</v>
      </c>
      <c r="S446" s="4" t="str">
        <f t="shared" si="48"/>
        <v/>
      </c>
    </row>
    <row r="447" spans="1:19" x14ac:dyDescent="0.35">
      <c r="A447" s="54"/>
      <c r="B447" s="57"/>
      <c r="C447" s="60"/>
      <c r="D447" s="66" t="str">
        <f t="shared" si="42"/>
        <v/>
      </c>
      <c r="E447" s="64" t="str">
        <f>IF(OR(C447="",A447=""),"",IF(A447&lt;'Page de garde'!$G$7,IF(VALUE(RIGHT(C447,2))&lt;50,66,86),INDEX(EC!$C$2:$C$677,MATCH(C447,EC,0))))</f>
        <v/>
      </c>
      <c r="F447" s="33" t="str">
        <f t="shared" si="49"/>
        <v/>
      </c>
      <c r="G447" s="38"/>
      <c r="H447" s="38"/>
      <c r="I447" s="38"/>
      <c r="J447" s="36"/>
      <c r="K447" s="29"/>
      <c r="L447" s="29"/>
      <c r="M447" s="31"/>
      <c r="N447" s="40">
        <f t="shared" si="44"/>
        <v>0</v>
      </c>
      <c r="P447" s="4" t="str">
        <f t="shared" si="45"/>
        <v/>
      </c>
      <c r="Q447" s="4" t="str">
        <f t="shared" si="46"/>
        <v/>
      </c>
      <c r="R447" s="4" t="str">
        <f t="shared" si="47"/>
        <v>/</v>
      </c>
      <c r="S447" s="4" t="str">
        <f t="shared" si="48"/>
        <v/>
      </c>
    </row>
    <row r="448" spans="1:19" x14ac:dyDescent="0.35">
      <c r="A448" s="54"/>
      <c r="B448" s="57"/>
      <c r="C448" s="60"/>
      <c r="D448" s="66" t="str">
        <f t="shared" si="42"/>
        <v/>
      </c>
      <c r="E448" s="64" t="str">
        <f>IF(OR(C448="",A448=""),"",IF(A448&lt;'Page de garde'!$G$7,IF(VALUE(RIGHT(C448,2))&lt;50,66,86),INDEX(EC!$C$2:$C$677,MATCH(C448,EC,0))))</f>
        <v/>
      </c>
      <c r="F448" s="33" t="str">
        <f t="shared" si="49"/>
        <v/>
      </c>
      <c r="G448" s="38"/>
      <c r="H448" s="38"/>
      <c r="I448" s="38"/>
      <c r="J448" s="36"/>
      <c r="K448" s="29"/>
      <c r="L448" s="29"/>
      <c r="M448" s="31"/>
      <c r="N448" s="40">
        <f t="shared" si="44"/>
        <v>0</v>
      </c>
      <c r="P448" s="4" t="str">
        <f t="shared" si="45"/>
        <v/>
      </c>
      <c r="Q448" s="4" t="str">
        <f t="shared" si="46"/>
        <v/>
      </c>
      <c r="R448" s="4" t="str">
        <f t="shared" si="47"/>
        <v>/</v>
      </c>
      <c r="S448" s="4" t="str">
        <f t="shared" si="48"/>
        <v/>
      </c>
    </row>
    <row r="449" spans="1:19" x14ac:dyDescent="0.35">
      <c r="A449" s="54"/>
      <c r="B449" s="57"/>
      <c r="C449" s="60"/>
      <c r="D449" s="66" t="str">
        <f t="shared" si="42"/>
        <v/>
      </c>
      <c r="E449" s="64" t="str">
        <f>IF(OR(C449="",A449=""),"",IF(A449&lt;'Page de garde'!$G$7,IF(VALUE(RIGHT(C449,2))&lt;50,66,86),INDEX(EC!$C$2:$C$677,MATCH(C449,EC,0))))</f>
        <v/>
      </c>
      <c r="F449" s="33" t="str">
        <f t="shared" si="49"/>
        <v/>
      </c>
      <c r="G449" s="38"/>
      <c r="H449" s="38"/>
      <c r="I449" s="38"/>
      <c r="J449" s="36"/>
      <c r="K449" s="29"/>
      <c r="L449" s="29"/>
      <c r="M449" s="31"/>
      <c r="N449" s="40">
        <f t="shared" si="44"/>
        <v>0</v>
      </c>
      <c r="P449" s="4" t="str">
        <f t="shared" si="45"/>
        <v/>
      </c>
      <c r="Q449" s="4" t="str">
        <f t="shared" si="46"/>
        <v/>
      </c>
      <c r="R449" s="4" t="str">
        <f t="shared" si="47"/>
        <v>/</v>
      </c>
      <c r="S449" s="4" t="str">
        <f t="shared" si="48"/>
        <v/>
      </c>
    </row>
    <row r="450" spans="1:19" x14ac:dyDescent="0.35">
      <c r="A450" s="54"/>
      <c r="B450" s="57"/>
      <c r="C450" s="60"/>
      <c r="D450" s="66" t="str">
        <f t="shared" si="42"/>
        <v/>
      </c>
      <c r="E450" s="64" t="str">
        <f>IF(OR(C450="",A450=""),"",IF(A450&lt;'Page de garde'!$G$7,IF(VALUE(RIGHT(C450,2))&lt;50,66,86),INDEX(EC!$C$2:$C$677,MATCH(C450,EC,0))))</f>
        <v/>
      </c>
      <c r="F450" s="33" t="str">
        <f t="shared" si="49"/>
        <v/>
      </c>
      <c r="G450" s="38"/>
      <c r="H450" s="38"/>
      <c r="I450" s="38"/>
      <c r="J450" s="36"/>
      <c r="K450" s="29"/>
      <c r="L450" s="29"/>
      <c r="M450" s="31"/>
      <c r="N450" s="40">
        <f t="shared" si="44"/>
        <v>0</v>
      </c>
      <c r="P450" s="4" t="str">
        <f t="shared" si="45"/>
        <v/>
      </c>
      <c r="Q450" s="4" t="str">
        <f t="shared" si="46"/>
        <v/>
      </c>
      <c r="R450" s="4" t="str">
        <f t="shared" si="47"/>
        <v>/</v>
      </c>
      <c r="S450" s="4" t="str">
        <f t="shared" si="48"/>
        <v/>
      </c>
    </row>
    <row r="451" spans="1:19" x14ac:dyDescent="0.35">
      <c r="A451" s="54"/>
      <c r="B451" s="57"/>
      <c r="C451" s="60"/>
      <c r="D451" s="66" t="str">
        <f t="shared" si="42"/>
        <v/>
      </c>
      <c r="E451" s="64" t="str">
        <f>IF(OR(C451="",A451=""),"",IF(A451&lt;'Page de garde'!$G$7,IF(VALUE(RIGHT(C451,2))&lt;50,66,86),INDEX(EC!$C$2:$C$677,MATCH(C451,EC,0))))</f>
        <v/>
      </c>
      <c r="F451" s="33" t="str">
        <f t="shared" si="49"/>
        <v/>
      </c>
      <c r="G451" s="38"/>
      <c r="H451" s="38"/>
      <c r="I451" s="38"/>
      <c r="J451" s="36"/>
      <c r="K451" s="29"/>
      <c r="L451" s="29"/>
      <c r="M451" s="31"/>
      <c r="N451" s="40">
        <f t="shared" si="44"/>
        <v>0</v>
      </c>
      <c r="P451" s="4" t="str">
        <f t="shared" si="45"/>
        <v/>
      </c>
      <c r="Q451" s="4" t="str">
        <f t="shared" si="46"/>
        <v/>
      </c>
      <c r="R451" s="4" t="str">
        <f t="shared" si="47"/>
        <v>/</v>
      </c>
      <c r="S451" s="4" t="str">
        <f t="shared" si="48"/>
        <v/>
      </c>
    </row>
    <row r="452" spans="1:19" x14ac:dyDescent="0.35">
      <c r="A452" s="54"/>
      <c r="B452" s="57"/>
      <c r="C452" s="60"/>
      <c r="D452" s="66" t="str">
        <f t="shared" si="42"/>
        <v/>
      </c>
      <c r="E452" s="64" t="str">
        <f>IF(OR(C452="",A452=""),"",IF(A452&lt;'Page de garde'!$G$7,IF(VALUE(RIGHT(C452,2))&lt;50,66,86),INDEX(EC!$C$2:$C$677,MATCH(C452,EC,0))))</f>
        <v/>
      </c>
      <c r="F452" s="33" t="str">
        <f t="shared" si="49"/>
        <v/>
      </c>
      <c r="G452" s="38"/>
      <c r="H452" s="38"/>
      <c r="I452" s="38"/>
      <c r="J452" s="36"/>
      <c r="K452" s="29"/>
      <c r="L452" s="29"/>
      <c r="M452" s="31"/>
      <c r="N452" s="40">
        <f t="shared" si="44"/>
        <v>0</v>
      </c>
      <c r="P452" s="4" t="str">
        <f t="shared" si="45"/>
        <v/>
      </c>
      <c r="Q452" s="4" t="str">
        <f t="shared" si="46"/>
        <v/>
      </c>
      <c r="R452" s="4" t="str">
        <f t="shared" si="47"/>
        <v>/</v>
      </c>
      <c r="S452" s="4" t="str">
        <f t="shared" si="48"/>
        <v/>
      </c>
    </row>
    <row r="453" spans="1:19" x14ac:dyDescent="0.35">
      <c r="A453" s="54"/>
      <c r="B453" s="57"/>
      <c r="C453" s="60"/>
      <c r="D453" s="66" t="str">
        <f t="shared" ref="D453:D504" si="50">IF(OR(B453="",C453=""),"",CONCATENATE(B453,"/",LEFT(C453,3),"-",RIGHT(C453,2)))</f>
        <v/>
      </c>
      <c r="E453" s="64" t="str">
        <f>IF(OR(C453="",A453=""),"",IF(A453&lt;'Page de garde'!$G$7,IF(VALUE(RIGHT(C453,2))&lt;50,66,86),INDEX(EC!$C$2:$C$677,MATCH(C453,EC,0))))</f>
        <v/>
      </c>
      <c r="F453" s="33" t="str">
        <f t="shared" ref="F453:F484" si="51">IF(C453="","",INDEX(OmEC,MATCH(C453,EC,0)))</f>
        <v/>
      </c>
      <c r="G453" s="38"/>
      <c r="H453" s="38"/>
      <c r="I453" s="38"/>
      <c r="J453" s="36"/>
      <c r="K453" s="29"/>
      <c r="L453" s="29"/>
      <c r="M453" s="31"/>
      <c r="N453" s="40">
        <f t="shared" ref="N453:N504" si="52">SUM(I453:M453)</f>
        <v>0</v>
      </c>
      <c r="P453" s="4" t="str">
        <f t="shared" ref="P453:P504" si="53">LEFT(C453,3)</f>
        <v/>
      </c>
      <c r="Q453" s="4" t="str">
        <f t="shared" si="46"/>
        <v/>
      </c>
      <c r="R453" s="4" t="str">
        <f t="shared" si="47"/>
        <v>/</v>
      </c>
      <c r="S453" s="4" t="str">
        <f t="shared" si="48"/>
        <v/>
      </c>
    </row>
    <row r="454" spans="1:19" x14ac:dyDescent="0.35">
      <c r="A454" s="54"/>
      <c r="B454" s="57"/>
      <c r="C454" s="60"/>
      <c r="D454" s="66" t="str">
        <f t="shared" si="50"/>
        <v/>
      </c>
      <c r="E454" s="64" t="str">
        <f>IF(OR(C454="",A454=""),"",IF(A454&lt;'Page de garde'!$G$7,IF(VALUE(RIGHT(C454,2))&lt;50,66,86),INDEX(EC!$C$2:$C$677,MATCH(C454,EC,0))))</f>
        <v/>
      </c>
      <c r="F454" s="33" t="str">
        <f t="shared" si="51"/>
        <v/>
      </c>
      <c r="G454" s="38"/>
      <c r="H454" s="38"/>
      <c r="I454" s="38"/>
      <c r="J454" s="36"/>
      <c r="K454" s="29"/>
      <c r="L454" s="29"/>
      <c r="M454" s="31"/>
      <c r="N454" s="40">
        <f t="shared" si="52"/>
        <v>0</v>
      </c>
      <c r="P454" s="4" t="str">
        <f t="shared" si="53"/>
        <v/>
      </c>
      <c r="Q454" s="4" t="str">
        <f t="shared" ref="Q454:Q504" si="54">IF(C454="","",IF(VALUE(RIGHT(C454,2))&lt;50,"G","B"))</f>
        <v/>
      </c>
      <c r="R454" s="4" t="str">
        <f t="shared" ref="R454:R504" si="55">CONCATENATE(D454,"/",A454)</f>
        <v>/</v>
      </c>
      <c r="S454" s="4" t="str">
        <f t="shared" ref="S454:S504" si="56">IF(B454="","",LEFT(B454,3))</f>
        <v/>
      </c>
    </row>
    <row r="455" spans="1:19" x14ac:dyDescent="0.35">
      <c r="A455" s="54"/>
      <c r="B455" s="57"/>
      <c r="C455" s="60"/>
      <c r="D455" s="66" t="str">
        <f t="shared" si="50"/>
        <v/>
      </c>
      <c r="E455" s="64" t="str">
        <f>IF(OR(C455="",A455=""),"",IF(A455&lt;'Page de garde'!$G$7,IF(VALUE(RIGHT(C455,2))&lt;50,66,86),INDEX(EC!$C$2:$C$677,MATCH(C455,EC,0))))</f>
        <v/>
      </c>
      <c r="F455" s="33" t="str">
        <f t="shared" si="51"/>
        <v/>
      </c>
      <c r="G455" s="38"/>
      <c r="H455" s="38"/>
      <c r="I455" s="38"/>
      <c r="J455" s="36"/>
      <c r="K455" s="29"/>
      <c r="L455" s="29"/>
      <c r="M455" s="31"/>
      <c r="N455" s="40">
        <f t="shared" si="52"/>
        <v>0</v>
      </c>
      <c r="P455" s="4" t="str">
        <f t="shared" si="53"/>
        <v/>
      </c>
      <c r="Q455" s="4" t="str">
        <f t="shared" si="54"/>
        <v/>
      </c>
      <c r="R455" s="4" t="str">
        <f t="shared" si="55"/>
        <v>/</v>
      </c>
      <c r="S455" s="4" t="str">
        <f t="shared" si="56"/>
        <v/>
      </c>
    </row>
    <row r="456" spans="1:19" x14ac:dyDescent="0.35">
      <c r="A456" s="54"/>
      <c r="B456" s="57"/>
      <c r="C456" s="60"/>
      <c r="D456" s="66" t="str">
        <f t="shared" si="50"/>
        <v/>
      </c>
      <c r="E456" s="64" t="str">
        <f>IF(OR(C456="",A456=""),"",IF(A456&lt;'Page de garde'!$G$7,IF(VALUE(RIGHT(C456,2))&lt;50,66,86),INDEX(EC!$C$2:$C$677,MATCH(C456,EC,0))))</f>
        <v/>
      </c>
      <c r="F456" s="33" t="str">
        <f t="shared" si="51"/>
        <v/>
      </c>
      <c r="G456" s="38"/>
      <c r="H456" s="38"/>
      <c r="I456" s="38"/>
      <c r="J456" s="36"/>
      <c r="K456" s="29"/>
      <c r="L456" s="29"/>
      <c r="M456" s="31"/>
      <c r="N456" s="40">
        <f t="shared" si="52"/>
        <v>0</v>
      </c>
      <c r="P456" s="4" t="str">
        <f t="shared" si="53"/>
        <v/>
      </c>
      <c r="Q456" s="4" t="str">
        <f t="shared" si="54"/>
        <v/>
      </c>
      <c r="R456" s="4" t="str">
        <f t="shared" si="55"/>
        <v>/</v>
      </c>
      <c r="S456" s="4" t="str">
        <f t="shared" si="56"/>
        <v/>
      </c>
    </row>
    <row r="457" spans="1:19" x14ac:dyDescent="0.35">
      <c r="A457" s="54"/>
      <c r="B457" s="57"/>
      <c r="C457" s="60"/>
      <c r="D457" s="66" t="str">
        <f t="shared" si="50"/>
        <v/>
      </c>
      <c r="E457" s="64" t="str">
        <f>IF(OR(C457="",A457=""),"",IF(A457&lt;'Page de garde'!$G$7,IF(VALUE(RIGHT(C457,2))&lt;50,66,86),INDEX(EC!$C$2:$C$677,MATCH(C457,EC,0))))</f>
        <v/>
      </c>
      <c r="F457" s="33" t="str">
        <f t="shared" si="51"/>
        <v/>
      </c>
      <c r="G457" s="38"/>
      <c r="H457" s="38"/>
      <c r="I457" s="38"/>
      <c r="J457" s="36"/>
      <c r="K457" s="29"/>
      <c r="L457" s="29"/>
      <c r="M457" s="31"/>
      <c r="N457" s="40">
        <f t="shared" si="52"/>
        <v>0</v>
      </c>
      <c r="P457" s="4" t="str">
        <f t="shared" si="53"/>
        <v/>
      </c>
      <c r="Q457" s="4" t="str">
        <f t="shared" si="54"/>
        <v/>
      </c>
      <c r="R457" s="4" t="str">
        <f t="shared" si="55"/>
        <v>/</v>
      </c>
      <c r="S457" s="4" t="str">
        <f t="shared" si="56"/>
        <v/>
      </c>
    </row>
    <row r="458" spans="1:19" x14ac:dyDescent="0.35">
      <c r="A458" s="54"/>
      <c r="B458" s="57"/>
      <c r="C458" s="60"/>
      <c r="D458" s="66" t="str">
        <f t="shared" si="50"/>
        <v/>
      </c>
      <c r="E458" s="64" t="str">
        <f>IF(OR(C458="",A458=""),"",IF(A458&lt;'Page de garde'!$G$7,IF(VALUE(RIGHT(C458,2))&lt;50,66,86),INDEX(EC!$C$2:$C$677,MATCH(C458,EC,0))))</f>
        <v/>
      </c>
      <c r="F458" s="33" t="str">
        <f t="shared" si="51"/>
        <v/>
      </c>
      <c r="G458" s="38"/>
      <c r="H458" s="38"/>
      <c r="I458" s="38"/>
      <c r="J458" s="36"/>
      <c r="K458" s="29"/>
      <c r="L458" s="29"/>
      <c r="M458" s="31"/>
      <c r="N458" s="40">
        <f t="shared" si="52"/>
        <v>0</v>
      </c>
      <c r="P458" s="4" t="str">
        <f t="shared" si="53"/>
        <v/>
      </c>
      <c r="Q458" s="4" t="str">
        <f t="shared" si="54"/>
        <v/>
      </c>
      <c r="R458" s="4" t="str">
        <f t="shared" si="55"/>
        <v>/</v>
      </c>
      <c r="S458" s="4" t="str">
        <f t="shared" si="56"/>
        <v/>
      </c>
    </row>
    <row r="459" spans="1:19" x14ac:dyDescent="0.35">
      <c r="A459" s="54"/>
      <c r="B459" s="57"/>
      <c r="C459" s="60"/>
      <c r="D459" s="66" t="str">
        <f t="shared" si="50"/>
        <v/>
      </c>
      <c r="E459" s="64" t="str">
        <f>IF(OR(C459="",A459=""),"",IF(A459&lt;'Page de garde'!$G$7,IF(VALUE(RIGHT(C459,2))&lt;50,66,86),INDEX(EC!$C$2:$C$677,MATCH(C459,EC,0))))</f>
        <v/>
      </c>
      <c r="F459" s="33" t="str">
        <f t="shared" si="51"/>
        <v/>
      </c>
      <c r="G459" s="38"/>
      <c r="H459" s="38"/>
      <c r="I459" s="38"/>
      <c r="J459" s="36"/>
      <c r="K459" s="29"/>
      <c r="L459" s="29"/>
      <c r="M459" s="31"/>
      <c r="N459" s="40">
        <f t="shared" si="52"/>
        <v>0</v>
      </c>
      <c r="P459" s="4" t="str">
        <f t="shared" si="53"/>
        <v/>
      </c>
      <c r="Q459" s="4" t="str">
        <f t="shared" si="54"/>
        <v/>
      </c>
      <c r="R459" s="4" t="str">
        <f t="shared" si="55"/>
        <v>/</v>
      </c>
      <c r="S459" s="4" t="str">
        <f t="shared" si="56"/>
        <v/>
      </c>
    </row>
    <row r="460" spans="1:19" x14ac:dyDescent="0.35">
      <c r="A460" s="54"/>
      <c r="B460" s="57"/>
      <c r="C460" s="60"/>
      <c r="D460" s="66" t="str">
        <f t="shared" si="50"/>
        <v/>
      </c>
      <c r="E460" s="64" t="str">
        <f>IF(OR(C460="",A460=""),"",IF(A460&lt;'Page de garde'!$G$7,IF(VALUE(RIGHT(C460,2))&lt;50,66,86),INDEX(EC!$C$2:$C$677,MATCH(C460,EC,0))))</f>
        <v/>
      </c>
      <c r="F460" s="33" t="str">
        <f t="shared" si="51"/>
        <v/>
      </c>
      <c r="G460" s="38"/>
      <c r="H460" s="38"/>
      <c r="I460" s="38"/>
      <c r="J460" s="36"/>
      <c r="K460" s="29"/>
      <c r="L460" s="29"/>
      <c r="M460" s="31"/>
      <c r="N460" s="40">
        <f t="shared" si="52"/>
        <v>0</v>
      </c>
      <c r="P460" s="4" t="str">
        <f t="shared" si="53"/>
        <v/>
      </c>
      <c r="Q460" s="4" t="str">
        <f t="shared" si="54"/>
        <v/>
      </c>
      <c r="R460" s="4" t="str">
        <f t="shared" si="55"/>
        <v>/</v>
      </c>
      <c r="S460" s="4" t="str">
        <f t="shared" si="56"/>
        <v/>
      </c>
    </row>
    <row r="461" spans="1:19" x14ac:dyDescent="0.35">
      <c r="A461" s="54"/>
      <c r="B461" s="57"/>
      <c r="C461" s="60"/>
      <c r="D461" s="66" t="str">
        <f t="shared" si="50"/>
        <v/>
      </c>
      <c r="E461" s="64" t="str">
        <f>IF(OR(C461="",A461=""),"",IF(A461&lt;'Page de garde'!$G$7,IF(VALUE(RIGHT(C461,2))&lt;50,66,86),INDEX(EC!$C$2:$C$677,MATCH(C461,EC,0))))</f>
        <v/>
      </c>
      <c r="F461" s="33" t="str">
        <f t="shared" si="51"/>
        <v/>
      </c>
      <c r="G461" s="38"/>
      <c r="H461" s="38"/>
      <c r="I461" s="38"/>
      <c r="J461" s="36"/>
      <c r="K461" s="29"/>
      <c r="L461" s="29"/>
      <c r="M461" s="31"/>
      <c r="N461" s="40">
        <f t="shared" si="52"/>
        <v>0</v>
      </c>
      <c r="P461" s="4" t="str">
        <f t="shared" si="53"/>
        <v/>
      </c>
      <c r="Q461" s="4" t="str">
        <f t="shared" si="54"/>
        <v/>
      </c>
      <c r="R461" s="4" t="str">
        <f t="shared" si="55"/>
        <v>/</v>
      </c>
      <c r="S461" s="4" t="str">
        <f t="shared" si="56"/>
        <v/>
      </c>
    </row>
    <row r="462" spans="1:19" x14ac:dyDescent="0.35">
      <c r="A462" s="54"/>
      <c r="B462" s="57"/>
      <c r="C462" s="60"/>
      <c r="D462" s="66" t="str">
        <f t="shared" si="50"/>
        <v/>
      </c>
      <c r="E462" s="64" t="str">
        <f>IF(OR(C462="",A462=""),"",IF(A462&lt;'Page de garde'!$G$7,IF(VALUE(RIGHT(C462,2))&lt;50,66,86),INDEX(EC!$C$2:$C$677,MATCH(C462,EC,0))))</f>
        <v/>
      </c>
      <c r="F462" s="33" t="str">
        <f t="shared" si="51"/>
        <v/>
      </c>
      <c r="G462" s="38"/>
      <c r="H462" s="38"/>
      <c r="I462" s="38"/>
      <c r="J462" s="36"/>
      <c r="K462" s="29"/>
      <c r="L462" s="29"/>
      <c r="M462" s="31"/>
      <c r="N462" s="40">
        <f t="shared" si="52"/>
        <v>0</v>
      </c>
      <c r="P462" s="4" t="str">
        <f t="shared" si="53"/>
        <v/>
      </c>
      <c r="Q462" s="4" t="str">
        <f t="shared" si="54"/>
        <v/>
      </c>
      <c r="R462" s="4" t="str">
        <f t="shared" si="55"/>
        <v>/</v>
      </c>
      <c r="S462" s="4" t="str">
        <f t="shared" si="56"/>
        <v/>
      </c>
    </row>
    <row r="463" spans="1:19" x14ac:dyDescent="0.35">
      <c r="A463" s="54"/>
      <c r="B463" s="57"/>
      <c r="C463" s="60"/>
      <c r="D463" s="66" t="str">
        <f t="shared" si="50"/>
        <v/>
      </c>
      <c r="E463" s="64" t="str">
        <f>IF(OR(C463="",A463=""),"",IF(A463&lt;'Page de garde'!$G$7,IF(VALUE(RIGHT(C463,2))&lt;50,66,86),INDEX(EC!$C$2:$C$677,MATCH(C463,EC,0))))</f>
        <v/>
      </c>
      <c r="F463" s="33" t="str">
        <f t="shared" si="51"/>
        <v/>
      </c>
      <c r="G463" s="38"/>
      <c r="H463" s="38"/>
      <c r="I463" s="38"/>
      <c r="J463" s="36"/>
      <c r="K463" s="29"/>
      <c r="L463" s="29"/>
      <c r="M463" s="31"/>
      <c r="N463" s="40">
        <f t="shared" si="52"/>
        <v>0</v>
      </c>
      <c r="P463" s="4" t="str">
        <f t="shared" si="53"/>
        <v/>
      </c>
      <c r="Q463" s="4" t="str">
        <f t="shared" si="54"/>
        <v/>
      </c>
      <c r="R463" s="4" t="str">
        <f t="shared" si="55"/>
        <v>/</v>
      </c>
      <c r="S463" s="4" t="str">
        <f t="shared" si="56"/>
        <v/>
      </c>
    </row>
    <row r="464" spans="1:19" x14ac:dyDescent="0.35">
      <c r="A464" s="54"/>
      <c r="B464" s="57"/>
      <c r="C464" s="60"/>
      <c r="D464" s="66" t="str">
        <f t="shared" si="50"/>
        <v/>
      </c>
      <c r="E464" s="64" t="str">
        <f>IF(OR(C464="",A464=""),"",IF(A464&lt;'Page de garde'!$G$7,IF(VALUE(RIGHT(C464,2))&lt;50,66,86),INDEX(EC!$C$2:$C$677,MATCH(C464,EC,0))))</f>
        <v/>
      </c>
      <c r="F464" s="33" t="str">
        <f t="shared" si="51"/>
        <v/>
      </c>
      <c r="G464" s="38"/>
      <c r="H464" s="38"/>
      <c r="I464" s="38"/>
      <c r="J464" s="36"/>
      <c r="K464" s="29"/>
      <c r="L464" s="29"/>
      <c r="M464" s="31"/>
      <c r="N464" s="40">
        <f t="shared" si="52"/>
        <v>0</v>
      </c>
      <c r="P464" s="4" t="str">
        <f t="shared" si="53"/>
        <v/>
      </c>
      <c r="Q464" s="4" t="str">
        <f t="shared" si="54"/>
        <v/>
      </c>
      <c r="R464" s="4" t="str">
        <f t="shared" si="55"/>
        <v>/</v>
      </c>
      <c r="S464" s="4" t="str">
        <f t="shared" si="56"/>
        <v/>
      </c>
    </row>
    <row r="465" spans="1:19" x14ac:dyDescent="0.35">
      <c r="A465" s="54"/>
      <c r="B465" s="57"/>
      <c r="C465" s="60"/>
      <c r="D465" s="66" t="str">
        <f t="shared" si="50"/>
        <v/>
      </c>
      <c r="E465" s="64" t="str">
        <f>IF(OR(C465="",A465=""),"",IF(A465&lt;'Page de garde'!$G$7,IF(VALUE(RIGHT(C465,2))&lt;50,66,86),INDEX(EC!$C$2:$C$677,MATCH(C465,EC,0))))</f>
        <v/>
      </c>
      <c r="F465" s="33" t="str">
        <f t="shared" si="51"/>
        <v/>
      </c>
      <c r="G465" s="38"/>
      <c r="H465" s="38"/>
      <c r="I465" s="38"/>
      <c r="J465" s="36"/>
      <c r="K465" s="29"/>
      <c r="L465" s="29"/>
      <c r="M465" s="31"/>
      <c r="N465" s="40">
        <f t="shared" si="52"/>
        <v>0</v>
      </c>
      <c r="P465" s="4" t="str">
        <f t="shared" si="53"/>
        <v/>
      </c>
      <c r="Q465" s="4" t="str">
        <f t="shared" si="54"/>
        <v/>
      </c>
      <c r="R465" s="4" t="str">
        <f t="shared" si="55"/>
        <v>/</v>
      </c>
      <c r="S465" s="4" t="str">
        <f t="shared" si="56"/>
        <v/>
      </c>
    </row>
    <row r="466" spans="1:19" x14ac:dyDescent="0.35">
      <c r="A466" s="54"/>
      <c r="B466" s="57"/>
      <c r="C466" s="60"/>
      <c r="D466" s="66" t="str">
        <f t="shared" si="50"/>
        <v/>
      </c>
      <c r="E466" s="64" t="str">
        <f>IF(OR(C466="",A466=""),"",IF(A466&lt;'Page de garde'!$G$7,IF(VALUE(RIGHT(C466,2))&lt;50,66,86),INDEX(EC!$C$2:$C$677,MATCH(C466,EC,0))))</f>
        <v/>
      </c>
      <c r="F466" s="33" t="str">
        <f t="shared" si="51"/>
        <v/>
      </c>
      <c r="G466" s="38"/>
      <c r="H466" s="38"/>
      <c r="I466" s="38"/>
      <c r="J466" s="36"/>
      <c r="K466" s="29"/>
      <c r="L466" s="29"/>
      <c r="M466" s="31"/>
      <c r="N466" s="40">
        <f t="shared" si="52"/>
        <v>0</v>
      </c>
      <c r="P466" s="4" t="str">
        <f t="shared" si="53"/>
        <v/>
      </c>
      <c r="Q466" s="4" t="str">
        <f t="shared" si="54"/>
        <v/>
      </c>
      <c r="R466" s="4" t="str">
        <f t="shared" si="55"/>
        <v>/</v>
      </c>
      <c r="S466" s="4" t="str">
        <f t="shared" si="56"/>
        <v/>
      </c>
    </row>
    <row r="467" spans="1:19" x14ac:dyDescent="0.35">
      <c r="A467" s="54"/>
      <c r="B467" s="57"/>
      <c r="C467" s="60"/>
      <c r="D467" s="66" t="str">
        <f t="shared" si="50"/>
        <v/>
      </c>
      <c r="E467" s="64" t="str">
        <f>IF(OR(C467="",A467=""),"",IF(A467&lt;'Page de garde'!$G$7,IF(VALUE(RIGHT(C467,2))&lt;50,66,86),INDEX(EC!$C$2:$C$677,MATCH(C467,EC,0))))</f>
        <v/>
      </c>
      <c r="F467" s="33" t="str">
        <f t="shared" si="51"/>
        <v/>
      </c>
      <c r="G467" s="38"/>
      <c r="H467" s="38"/>
      <c r="I467" s="38"/>
      <c r="J467" s="36"/>
      <c r="K467" s="29"/>
      <c r="L467" s="29"/>
      <c r="M467" s="31"/>
      <c r="N467" s="40">
        <f t="shared" si="52"/>
        <v>0</v>
      </c>
      <c r="P467" s="4" t="str">
        <f t="shared" si="53"/>
        <v/>
      </c>
      <c r="Q467" s="4" t="str">
        <f t="shared" si="54"/>
        <v/>
      </c>
      <c r="R467" s="4" t="str">
        <f t="shared" si="55"/>
        <v>/</v>
      </c>
      <c r="S467" s="4" t="str">
        <f t="shared" si="56"/>
        <v/>
      </c>
    </row>
    <row r="468" spans="1:19" x14ac:dyDescent="0.35">
      <c r="A468" s="54"/>
      <c r="B468" s="57"/>
      <c r="C468" s="60"/>
      <c r="D468" s="66" t="str">
        <f t="shared" si="50"/>
        <v/>
      </c>
      <c r="E468" s="64" t="str">
        <f>IF(OR(C468="",A468=""),"",IF(A468&lt;'Page de garde'!$G$7,IF(VALUE(RIGHT(C468,2))&lt;50,66,86),INDEX(EC!$C$2:$C$677,MATCH(C468,EC,0))))</f>
        <v/>
      </c>
      <c r="F468" s="33" t="str">
        <f t="shared" si="51"/>
        <v/>
      </c>
      <c r="G468" s="38"/>
      <c r="H468" s="38"/>
      <c r="I468" s="38"/>
      <c r="J468" s="36"/>
      <c r="K468" s="29"/>
      <c r="L468" s="29"/>
      <c r="M468" s="31"/>
      <c r="N468" s="40">
        <f t="shared" si="52"/>
        <v>0</v>
      </c>
      <c r="P468" s="4" t="str">
        <f t="shared" si="53"/>
        <v/>
      </c>
      <c r="Q468" s="4" t="str">
        <f t="shared" si="54"/>
        <v/>
      </c>
      <c r="R468" s="4" t="str">
        <f t="shared" si="55"/>
        <v>/</v>
      </c>
      <c r="S468" s="4" t="str">
        <f t="shared" si="56"/>
        <v/>
      </c>
    </row>
    <row r="469" spans="1:19" x14ac:dyDescent="0.35">
      <c r="A469" s="54"/>
      <c r="B469" s="57"/>
      <c r="C469" s="60"/>
      <c r="D469" s="66" t="str">
        <f t="shared" si="50"/>
        <v/>
      </c>
      <c r="E469" s="64" t="str">
        <f>IF(OR(C469="",A469=""),"",IF(A469&lt;'Page de garde'!$G$7,IF(VALUE(RIGHT(C469,2))&lt;50,66,86),INDEX(EC!$C$2:$C$677,MATCH(C469,EC,0))))</f>
        <v/>
      </c>
      <c r="F469" s="33" t="str">
        <f t="shared" si="51"/>
        <v/>
      </c>
      <c r="G469" s="38"/>
      <c r="H469" s="38"/>
      <c r="I469" s="38"/>
      <c r="J469" s="36"/>
      <c r="K469" s="29"/>
      <c r="L469" s="29"/>
      <c r="M469" s="31"/>
      <c r="N469" s="40">
        <f t="shared" si="52"/>
        <v>0</v>
      </c>
      <c r="P469" s="4" t="str">
        <f t="shared" si="53"/>
        <v/>
      </c>
      <c r="Q469" s="4" t="str">
        <f t="shared" si="54"/>
        <v/>
      </c>
      <c r="R469" s="4" t="str">
        <f t="shared" si="55"/>
        <v>/</v>
      </c>
      <c r="S469" s="4" t="str">
        <f t="shared" si="56"/>
        <v/>
      </c>
    </row>
    <row r="470" spans="1:19" x14ac:dyDescent="0.35">
      <c r="A470" s="54"/>
      <c r="B470" s="57"/>
      <c r="C470" s="60"/>
      <c r="D470" s="66" t="str">
        <f t="shared" si="50"/>
        <v/>
      </c>
      <c r="E470" s="64" t="str">
        <f>IF(OR(C470="",A470=""),"",IF(A470&lt;'Page de garde'!$G$7,IF(VALUE(RIGHT(C470,2))&lt;50,66,86),INDEX(EC!$C$2:$C$677,MATCH(C470,EC,0))))</f>
        <v/>
      </c>
      <c r="F470" s="33" t="str">
        <f t="shared" si="51"/>
        <v/>
      </c>
      <c r="G470" s="38"/>
      <c r="H470" s="38"/>
      <c r="I470" s="38"/>
      <c r="J470" s="36"/>
      <c r="K470" s="29"/>
      <c r="L470" s="29"/>
      <c r="M470" s="31"/>
      <c r="N470" s="40">
        <f t="shared" si="52"/>
        <v>0</v>
      </c>
      <c r="P470" s="4" t="str">
        <f t="shared" si="53"/>
        <v/>
      </c>
      <c r="Q470" s="4" t="str">
        <f t="shared" si="54"/>
        <v/>
      </c>
      <c r="R470" s="4" t="str">
        <f t="shared" si="55"/>
        <v>/</v>
      </c>
      <c r="S470" s="4" t="str">
        <f t="shared" si="56"/>
        <v/>
      </c>
    </row>
    <row r="471" spans="1:19" x14ac:dyDescent="0.35">
      <c r="A471" s="54"/>
      <c r="B471" s="57"/>
      <c r="C471" s="60"/>
      <c r="D471" s="66" t="str">
        <f t="shared" si="50"/>
        <v/>
      </c>
      <c r="E471" s="64" t="str">
        <f>IF(OR(C471="",A471=""),"",IF(A471&lt;'Page de garde'!$G$7,IF(VALUE(RIGHT(C471,2))&lt;50,66,86),INDEX(EC!$C$2:$C$677,MATCH(C471,EC,0))))</f>
        <v/>
      </c>
      <c r="F471" s="33" t="str">
        <f t="shared" si="51"/>
        <v/>
      </c>
      <c r="G471" s="38"/>
      <c r="H471" s="38"/>
      <c r="I471" s="38"/>
      <c r="J471" s="36"/>
      <c r="K471" s="29"/>
      <c r="L471" s="29"/>
      <c r="M471" s="31"/>
      <c r="N471" s="40">
        <f t="shared" si="52"/>
        <v>0</v>
      </c>
      <c r="P471" s="4" t="str">
        <f t="shared" si="53"/>
        <v/>
      </c>
      <c r="Q471" s="4" t="str">
        <f t="shared" si="54"/>
        <v/>
      </c>
      <c r="R471" s="4" t="str">
        <f t="shared" si="55"/>
        <v>/</v>
      </c>
      <c r="S471" s="4" t="str">
        <f t="shared" si="56"/>
        <v/>
      </c>
    </row>
    <row r="472" spans="1:19" x14ac:dyDescent="0.35">
      <c r="A472" s="54"/>
      <c r="B472" s="57"/>
      <c r="C472" s="60"/>
      <c r="D472" s="66" t="str">
        <f t="shared" si="50"/>
        <v/>
      </c>
      <c r="E472" s="64" t="str">
        <f>IF(OR(C472="",A472=""),"",IF(A472&lt;'Page de garde'!$G$7,IF(VALUE(RIGHT(C472,2))&lt;50,66,86),INDEX(EC!$C$2:$C$677,MATCH(C472,EC,0))))</f>
        <v/>
      </c>
      <c r="F472" s="33" t="str">
        <f t="shared" si="51"/>
        <v/>
      </c>
      <c r="G472" s="38"/>
      <c r="H472" s="38"/>
      <c r="I472" s="38"/>
      <c r="J472" s="36"/>
      <c r="K472" s="29"/>
      <c r="L472" s="29"/>
      <c r="M472" s="31"/>
      <c r="N472" s="40">
        <f t="shared" si="52"/>
        <v>0</v>
      </c>
      <c r="P472" s="4" t="str">
        <f t="shared" si="53"/>
        <v/>
      </c>
      <c r="Q472" s="4" t="str">
        <f t="shared" si="54"/>
        <v/>
      </c>
      <c r="R472" s="4" t="str">
        <f t="shared" si="55"/>
        <v>/</v>
      </c>
      <c r="S472" s="4" t="str">
        <f t="shared" si="56"/>
        <v/>
      </c>
    </row>
    <row r="473" spans="1:19" x14ac:dyDescent="0.35">
      <c r="A473" s="54"/>
      <c r="B473" s="57"/>
      <c r="C473" s="60"/>
      <c r="D473" s="66" t="str">
        <f t="shared" si="50"/>
        <v/>
      </c>
      <c r="E473" s="64" t="str">
        <f>IF(OR(C473="",A473=""),"",IF(A473&lt;'Page de garde'!$G$7,IF(VALUE(RIGHT(C473,2))&lt;50,66,86),INDEX(EC!$C$2:$C$677,MATCH(C473,EC,0))))</f>
        <v/>
      </c>
      <c r="F473" s="33" t="str">
        <f t="shared" si="51"/>
        <v/>
      </c>
      <c r="G473" s="38"/>
      <c r="H473" s="38"/>
      <c r="I473" s="38"/>
      <c r="J473" s="36"/>
      <c r="K473" s="29"/>
      <c r="L473" s="29"/>
      <c r="M473" s="31"/>
      <c r="N473" s="40">
        <f t="shared" si="52"/>
        <v>0</v>
      </c>
      <c r="P473" s="4" t="str">
        <f t="shared" si="53"/>
        <v/>
      </c>
      <c r="Q473" s="4" t="str">
        <f t="shared" si="54"/>
        <v/>
      </c>
      <c r="R473" s="4" t="str">
        <f t="shared" si="55"/>
        <v>/</v>
      </c>
      <c r="S473" s="4" t="str">
        <f t="shared" si="56"/>
        <v/>
      </c>
    </row>
    <row r="474" spans="1:19" x14ac:dyDescent="0.35">
      <c r="A474" s="54"/>
      <c r="B474" s="57"/>
      <c r="C474" s="60"/>
      <c r="D474" s="66" t="str">
        <f t="shared" si="50"/>
        <v/>
      </c>
      <c r="E474" s="64" t="str">
        <f>IF(OR(C474="",A474=""),"",IF(A474&lt;'Page de garde'!$G$7,IF(VALUE(RIGHT(C474,2))&lt;50,66,86),INDEX(EC!$C$2:$C$677,MATCH(C474,EC,0))))</f>
        <v/>
      </c>
      <c r="F474" s="33" t="str">
        <f t="shared" si="51"/>
        <v/>
      </c>
      <c r="G474" s="38"/>
      <c r="H474" s="38"/>
      <c r="I474" s="38"/>
      <c r="J474" s="36"/>
      <c r="K474" s="29"/>
      <c r="L474" s="29"/>
      <c r="M474" s="31"/>
      <c r="N474" s="40">
        <f t="shared" si="52"/>
        <v>0</v>
      </c>
      <c r="P474" s="4" t="str">
        <f t="shared" si="53"/>
        <v/>
      </c>
      <c r="Q474" s="4" t="str">
        <f t="shared" si="54"/>
        <v/>
      </c>
      <c r="R474" s="4" t="str">
        <f t="shared" si="55"/>
        <v>/</v>
      </c>
      <c r="S474" s="4" t="str">
        <f t="shared" si="56"/>
        <v/>
      </c>
    </row>
    <row r="475" spans="1:19" x14ac:dyDescent="0.35">
      <c r="A475" s="54"/>
      <c r="B475" s="57"/>
      <c r="C475" s="60"/>
      <c r="D475" s="66" t="str">
        <f t="shared" si="50"/>
        <v/>
      </c>
      <c r="E475" s="64" t="str">
        <f>IF(OR(C475="",A475=""),"",IF(A475&lt;'Page de garde'!$G$7,IF(VALUE(RIGHT(C475,2))&lt;50,66,86),INDEX(EC!$C$2:$C$677,MATCH(C475,EC,0))))</f>
        <v/>
      </c>
      <c r="F475" s="33" t="str">
        <f t="shared" si="51"/>
        <v/>
      </c>
      <c r="G475" s="38"/>
      <c r="H475" s="38"/>
      <c r="I475" s="38"/>
      <c r="J475" s="36"/>
      <c r="K475" s="29"/>
      <c r="L475" s="29"/>
      <c r="M475" s="31"/>
      <c r="N475" s="40">
        <f t="shared" si="52"/>
        <v>0</v>
      </c>
      <c r="P475" s="4" t="str">
        <f t="shared" si="53"/>
        <v/>
      </c>
      <c r="Q475" s="4" t="str">
        <f t="shared" si="54"/>
        <v/>
      </c>
      <c r="R475" s="4" t="str">
        <f t="shared" si="55"/>
        <v>/</v>
      </c>
      <c r="S475" s="4" t="str">
        <f t="shared" si="56"/>
        <v/>
      </c>
    </row>
    <row r="476" spans="1:19" x14ac:dyDescent="0.35">
      <c r="A476" s="54"/>
      <c r="B476" s="57"/>
      <c r="C476" s="60"/>
      <c r="D476" s="66" t="str">
        <f t="shared" si="50"/>
        <v/>
      </c>
      <c r="E476" s="64" t="str">
        <f>IF(OR(C476="",A476=""),"",IF(A476&lt;'Page de garde'!$G$7,IF(VALUE(RIGHT(C476,2))&lt;50,66,86),INDEX(EC!$C$2:$C$677,MATCH(C476,EC,0))))</f>
        <v/>
      </c>
      <c r="F476" s="33" t="str">
        <f t="shared" si="51"/>
        <v/>
      </c>
      <c r="G476" s="38"/>
      <c r="H476" s="38"/>
      <c r="I476" s="38"/>
      <c r="J476" s="36"/>
      <c r="K476" s="29"/>
      <c r="L476" s="29"/>
      <c r="M476" s="31"/>
      <c r="N476" s="40">
        <f t="shared" si="52"/>
        <v>0</v>
      </c>
      <c r="P476" s="4" t="str">
        <f t="shared" si="53"/>
        <v/>
      </c>
      <c r="Q476" s="4" t="str">
        <f t="shared" si="54"/>
        <v/>
      </c>
      <c r="R476" s="4" t="str">
        <f t="shared" si="55"/>
        <v>/</v>
      </c>
      <c r="S476" s="4" t="str">
        <f t="shared" si="56"/>
        <v/>
      </c>
    </row>
    <row r="477" spans="1:19" x14ac:dyDescent="0.35">
      <c r="A477" s="54"/>
      <c r="B477" s="57"/>
      <c r="C477" s="60"/>
      <c r="D477" s="66" t="str">
        <f t="shared" si="50"/>
        <v/>
      </c>
      <c r="E477" s="64" t="str">
        <f>IF(OR(C477="",A477=""),"",IF(A477&lt;'Page de garde'!$G$7,IF(VALUE(RIGHT(C477,2))&lt;50,66,86),INDEX(EC!$C$2:$C$677,MATCH(C477,EC,0))))</f>
        <v/>
      </c>
      <c r="F477" s="33" t="str">
        <f t="shared" si="51"/>
        <v/>
      </c>
      <c r="G477" s="38"/>
      <c r="H477" s="38"/>
      <c r="I477" s="38"/>
      <c r="J477" s="36"/>
      <c r="K477" s="29"/>
      <c r="L477" s="29"/>
      <c r="M477" s="31"/>
      <c r="N477" s="40">
        <f t="shared" si="52"/>
        <v>0</v>
      </c>
      <c r="P477" s="4" t="str">
        <f t="shared" si="53"/>
        <v/>
      </c>
      <c r="Q477" s="4" t="str">
        <f t="shared" si="54"/>
        <v/>
      </c>
      <c r="R477" s="4" t="str">
        <f t="shared" si="55"/>
        <v>/</v>
      </c>
      <c r="S477" s="4" t="str">
        <f t="shared" si="56"/>
        <v/>
      </c>
    </row>
    <row r="478" spans="1:19" x14ac:dyDescent="0.35">
      <c r="A478" s="54"/>
      <c r="B478" s="57"/>
      <c r="C478" s="60"/>
      <c r="D478" s="66" t="str">
        <f t="shared" si="50"/>
        <v/>
      </c>
      <c r="E478" s="64" t="str">
        <f>IF(OR(C478="",A478=""),"",IF(A478&lt;'Page de garde'!$G$7,IF(VALUE(RIGHT(C478,2))&lt;50,66,86),INDEX(EC!$C$2:$C$677,MATCH(C478,EC,0))))</f>
        <v/>
      </c>
      <c r="F478" s="33" t="str">
        <f t="shared" si="51"/>
        <v/>
      </c>
      <c r="G478" s="38"/>
      <c r="H478" s="38"/>
      <c r="I478" s="38"/>
      <c r="J478" s="36"/>
      <c r="K478" s="29"/>
      <c r="L478" s="29"/>
      <c r="M478" s="31"/>
      <c r="N478" s="40">
        <f t="shared" si="52"/>
        <v>0</v>
      </c>
      <c r="P478" s="4" t="str">
        <f t="shared" si="53"/>
        <v/>
      </c>
      <c r="Q478" s="4" t="str">
        <f t="shared" si="54"/>
        <v/>
      </c>
      <c r="R478" s="4" t="str">
        <f t="shared" si="55"/>
        <v>/</v>
      </c>
      <c r="S478" s="4" t="str">
        <f t="shared" si="56"/>
        <v/>
      </c>
    </row>
    <row r="479" spans="1:19" x14ac:dyDescent="0.35">
      <c r="A479" s="54"/>
      <c r="B479" s="57"/>
      <c r="C479" s="60"/>
      <c r="D479" s="66" t="str">
        <f t="shared" si="50"/>
        <v/>
      </c>
      <c r="E479" s="64" t="str">
        <f>IF(OR(C479="",A479=""),"",IF(A479&lt;'Page de garde'!$G$7,IF(VALUE(RIGHT(C479,2))&lt;50,66,86),INDEX(EC!$C$2:$C$677,MATCH(C479,EC,0))))</f>
        <v/>
      </c>
      <c r="F479" s="33" t="str">
        <f t="shared" si="51"/>
        <v/>
      </c>
      <c r="G479" s="38"/>
      <c r="H479" s="38"/>
      <c r="I479" s="38"/>
      <c r="J479" s="36"/>
      <c r="K479" s="29"/>
      <c r="L479" s="29"/>
      <c r="M479" s="31"/>
      <c r="N479" s="40">
        <f t="shared" si="52"/>
        <v>0</v>
      </c>
      <c r="P479" s="4" t="str">
        <f t="shared" si="53"/>
        <v/>
      </c>
      <c r="Q479" s="4" t="str">
        <f t="shared" si="54"/>
        <v/>
      </c>
      <c r="R479" s="4" t="str">
        <f t="shared" si="55"/>
        <v>/</v>
      </c>
      <c r="S479" s="4" t="str">
        <f t="shared" si="56"/>
        <v/>
      </c>
    </row>
    <row r="480" spans="1:19" x14ac:dyDescent="0.35">
      <c r="A480" s="54"/>
      <c r="B480" s="57"/>
      <c r="C480" s="60"/>
      <c r="D480" s="66" t="str">
        <f t="shared" si="50"/>
        <v/>
      </c>
      <c r="E480" s="64" t="str">
        <f>IF(OR(C480="",A480=""),"",IF(A480&lt;'Page de garde'!$G$7,IF(VALUE(RIGHT(C480,2))&lt;50,66,86),INDEX(EC!$C$2:$C$677,MATCH(C480,EC,0))))</f>
        <v/>
      </c>
      <c r="F480" s="33" t="str">
        <f t="shared" si="51"/>
        <v/>
      </c>
      <c r="G480" s="38"/>
      <c r="H480" s="38"/>
      <c r="I480" s="38"/>
      <c r="J480" s="36"/>
      <c r="K480" s="29"/>
      <c r="L480" s="29"/>
      <c r="M480" s="31"/>
      <c r="N480" s="40">
        <f t="shared" si="52"/>
        <v>0</v>
      </c>
      <c r="P480" s="4" t="str">
        <f t="shared" si="53"/>
        <v/>
      </c>
      <c r="Q480" s="4" t="str">
        <f t="shared" si="54"/>
        <v/>
      </c>
      <c r="R480" s="4" t="str">
        <f t="shared" si="55"/>
        <v>/</v>
      </c>
      <c r="S480" s="4" t="str">
        <f t="shared" si="56"/>
        <v/>
      </c>
    </row>
    <row r="481" spans="1:19" x14ac:dyDescent="0.35">
      <c r="A481" s="54"/>
      <c r="B481" s="57"/>
      <c r="C481" s="60"/>
      <c r="D481" s="66" t="str">
        <f t="shared" si="50"/>
        <v/>
      </c>
      <c r="E481" s="64" t="str">
        <f>IF(OR(C481="",A481=""),"",IF(A481&lt;'Page de garde'!$G$7,IF(VALUE(RIGHT(C481,2))&lt;50,66,86),INDEX(EC!$C$2:$C$677,MATCH(C481,EC,0))))</f>
        <v/>
      </c>
      <c r="F481" s="33" t="str">
        <f t="shared" si="51"/>
        <v/>
      </c>
      <c r="G481" s="38"/>
      <c r="H481" s="38"/>
      <c r="I481" s="38"/>
      <c r="J481" s="36"/>
      <c r="K481" s="29"/>
      <c r="L481" s="29"/>
      <c r="M481" s="31"/>
      <c r="N481" s="40">
        <f t="shared" si="52"/>
        <v>0</v>
      </c>
      <c r="P481" s="4" t="str">
        <f t="shared" si="53"/>
        <v/>
      </c>
      <c r="Q481" s="4" t="str">
        <f t="shared" si="54"/>
        <v/>
      </c>
      <c r="R481" s="4" t="str">
        <f t="shared" si="55"/>
        <v>/</v>
      </c>
      <c r="S481" s="4" t="str">
        <f t="shared" si="56"/>
        <v/>
      </c>
    </row>
    <row r="482" spans="1:19" x14ac:dyDescent="0.35">
      <c r="A482" s="54"/>
      <c r="B482" s="57"/>
      <c r="C482" s="60"/>
      <c r="D482" s="66" t="str">
        <f t="shared" si="50"/>
        <v/>
      </c>
      <c r="E482" s="64" t="str">
        <f>IF(OR(C482="",A482=""),"",IF(A482&lt;'Page de garde'!$G$7,IF(VALUE(RIGHT(C482,2))&lt;50,66,86),INDEX(EC!$C$2:$C$677,MATCH(C482,EC,0))))</f>
        <v/>
      </c>
      <c r="F482" s="33" t="str">
        <f t="shared" si="51"/>
        <v/>
      </c>
      <c r="G482" s="38"/>
      <c r="H482" s="38"/>
      <c r="I482" s="38"/>
      <c r="J482" s="36"/>
      <c r="K482" s="29"/>
      <c r="L482" s="29"/>
      <c r="M482" s="31"/>
      <c r="N482" s="40">
        <f t="shared" si="52"/>
        <v>0</v>
      </c>
      <c r="P482" s="4" t="str">
        <f t="shared" si="53"/>
        <v/>
      </c>
      <c r="Q482" s="4" t="str">
        <f t="shared" si="54"/>
        <v/>
      </c>
      <c r="R482" s="4" t="str">
        <f t="shared" si="55"/>
        <v>/</v>
      </c>
      <c r="S482" s="4" t="str">
        <f t="shared" si="56"/>
        <v/>
      </c>
    </row>
    <row r="483" spans="1:19" x14ac:dyDescent="0.35">
      <c r="A483" s="54"/>
      <c r="B483" s="57"/>
      <c r="C483" s="60"/>
      <c r="D483" s="66" t="str">
        <f t="shared" si="50"/>
        <v/>
      </c>
      <c r="E483" s="64" t="str">
        <f>IF(OR(C483="",A483=""),"",IF(A483&lt;'Page de garde'!$G$7,IF(VALUE(RIGHT(C483,2))&lt;50,66,86),INDEX(EC!$C$2:$C$677,MATCH(C483,EC,0))))</f>
        <v/>
      </c>
      <c r="F483" s="33" t="str">
        <f t="shared" si="51"/>
        <v/>
      </c>
      <c r="G483" s="38"/>
      <c r="H483" s="38"/>
      <c r="I483" s="38"/>
      <c r="J483" s="36"/>
      <c r="K483" s="29"/>
      <c r="L483" s="29"/>
      <c r="M483" s="31"/>
      <c r="N483" s="40">
        <f t="shared" si="52"/>
        <v>0</v>
      </c>
      <c r="P483" s="4" t="str">
        <f t="shared" si="53"/>
        <v/>
      </c>
      <c r="Q483" s="4" t="str">
        <f t="shared" si="54"/>
        <v/>
      </c>
      <c r="R483" s="4" t="str">
        <f t="shared" si="55"/>
        <v>/</v>
      </c>
      <c r="S483" s="4" t="str">
        <f t="shared" si="56"/>
        <v/>
      </c>
    </row>
    <row r="484" spans="1:19" x14ac:dyDescent="0.35">
      <c r="A484" s="54"/>
      <c r="B484" s="57"/>
      <c r="C484" s="60"/>
      <c r="D484" s="66" t="str">
        <f t="shared" si="50"/>
        <v/>
      </c>
      <c r="E484" s="64" t="str">
        <f>IF(OR(C484="",A484=""),"",IF(A484&lt;'Page de garde'!$G$7,IF(VALUE(RIGHT(C484,2))&lt;50,66,86),INDEX(EC!$C$2:$C$677,MATCH(C484,EC,0))))</f>
        <v/>
      </c>
      <c r="F484" s="33" t="str">
        <f t="shared" si="51"/>
        <v/>
      </c>
      <c r="G484" s="38"/>
      <c r="H484" s="38"/>
      <c r="I484" s="38"/>
      <c r="J484" s="36"/>
      <c r="K484" s="29"/>
      <c r="L484" s="29"/>
      <c r="M484" s="31"/>
      <c r="N484" s="40">
        <f t="shared" si="52"/>
        <v>0</v>
      </c>
      <c r="P484" s="4" t="str">
        <f t="shared" si="53"/>
        <v/>
      </c>
      <c r="Q484" s="4" t="str">
        <f t="shared" si="54"/>
        <v/>
      </c>
      <c r="R484" s="4" t="str">
        <f t="shared" si="55"/>
        <v>/</v>
      </c>
      <c r="S484" s="4" t="str">
        <f t="shared" si="56"/>
        <v/>
      </c>
    </row>
    <row r="485" spans="1:19" x14ac:dyDescent="0.35">
      <c r="A485" s="54"/>
      <c r="B485" s="57"/>
      <c r="C485" s="60"/>
      <c r="D485" s="66" t="str">
        <f t="shared" si="50"/>
        <v/>
      </c>
      <c r="E485" s="64" t="str">
        <f>IF(OR(C485="",A485=""),"",IF(A485&lt;'Page de garde'!$G$7,IF(VALUE(RIGHT(C485,2))&lt;50,66,86),INDEX(EC!$C$2:$C$677,MATCH(C485,EC,0))))</f>
        <v/>
      </c>
      <c r="F485" s="33" t="str">
        <f t="shared" ref="F485:F504" si="57">IF(C485="","",INDEX(OmEC,MATCH(C485,EC,0)))</f>
        <v/>
      </c>
      <c r="G485" s="38"/>
      <c r="H485" s="38"/>
      <c r="I485" s="38"/>
      <c r="J485" s="36"/>
      <c r="K485" s="29"/>
      <c r="L485" s="29"/>
      <c r="M485" s="31"/>
      <c r="N485" s="40">
        <f t="shared" si="52"/>
        <v>0</v>
      </c>
      <c r="P485" s="4" t="str">
        <f t="shared" si="53"/>
        <v/>
      </c>
      <c r="Q485" s="4" t="str">
        <f t="shared" si="54"/>
        <v/>
      </c>
      <c r="R485" s="4" t="str">
        <f t="shared" si="55"/>
        <v>/</v>
      </c>
      <c r="S485" s="4" t="str">
        <f t="shared" si="56"/>
        <v/>
      </c>
    </row>
    <row r="486" spans="1:19" x14ac:dyDescent="0.35">
      <c r="A486" s="54"/>
      <c r="B486" s="57"/>
      <c r="C486" s="60"/>
      <c r="D486" s="66" t="str">
        <f t="shared" si="50"/>
        <v/>
      </c>
      <c r="E486" s="64" t="str">
        <f>IF(OR(C486="",A486=""),"",IF(A486&lt;'Page de garde'!$G$7,IF(VALUE(RIGHT(C486,2))&lt;50,66,86),INDEX(EC!$C$2:$C$677,MATCH(C486,EC,0))))</f>
        <v/>
      </c>
      <c r="F486" s="33" t="str">
        <f t="shared" si="57"/>
        <v/>
      </c>
      <c r="G486" s="38"/>
      <c r="H486" s="38"/>
      <c r="I486" s="38"/>
      <c r="J486" s="36"/>
      <c r="K486" s="29"/>
      <c r="L486" s="29"/>
      <c r="M486" s="31"/>
      <c r="N486" s="40">
        <f t="shared" si="52"/>
        <v>0</v>
      </c>
      <c r="P486" s="4" t="str">
        <f t="shared" si="53"/>
        <v/>
      </c>
      <c r="Q486" s="4" t="str">
        <f t="shared" si="54"/>
        <v/>
      </c>
      <c r="R486" s="4" t="str">
        <f t="shared" si="55"/>
        <v>/</v>
      </c>
      <c r="S486" s="4" t="str">
        <f t="shared" si="56"/>
        <v/>
      </c>
    </row>
    <row r="487" spans="1:19" x14ac:dyDescent="0.35">
      <c r="A487" s="54"/>
      <c r="B487" s="57"/>
      <c r="C487" s="60"/>
      <c r="D487" s="66" t="str">
        <f t="shared" si="50"/>
        <v/>
      </c>
      <c r="E487" s="64" t="str">
        <f>IF(OR(C487="",A487=""),"",IF(A487&lt;'Page de garde'!$G$7,IF(VALUE(RIGHT(C487,2))&lt;50,66,86),INDEX(EC!$C$2:$C$677,MATCH(C487,EC,0))))</f>
        <v/>
      </c>
      <c r="F487" s="33" t="str">
        <f t="shared" si="57"/>
        <v/>
      </c>
      <c r="G487" s="38"/>
      <c r="H487" s="38"/>
      <c r="I487" s="38"/>
      <c r="J487" s="36"/>
      <c r="K487" s="29"/>
      <c r="L487" s="29"/>
      <c r="M487" s="31"/>
      <c r="N487" s="40">
        <f t="shared" si="52"/>
        <v>0</v>
      </c>
      <c r="P487" s="4" t="str">
        <f t="shared" si="53"/>
        <v/>
      </c>
      <c r="Q487" s="4" t="str">
        <f t="shared" si="54"/>
        <v/>
      </c>
      <c r="R487" s="4" t="str">
        <f t="shared" si="55"/>
        <v>/</v>
      </c>
      <c r="S487" s="4" t="str">
        <f t="shared" si="56"/>
        <v/>
      </c>
    </row>
    <row r="488" spans="1:19" x14ac:dyDescent="0.35">
      <c r="A488" s="54"/>
      <c r="B488" s="57"/>
      <c r="C488" s="60"/>
      <c r="D488" s="66" t="str">
        <f t="shared" si="50"/>
        <v/>
      </c>
      <c r="E488" s="64" t="str">
        <f>IF(OR(C488="",A488=""),"",IF(A488&lt;'Page de garde'!$G$7,IF(VALUE(RIGHT(C488,2))&lt;50,66,86),INDEX(EC!$C$2:$C$677,MATCH(C488,EC,0))))</f>
        <v/>
      </c>
      <c r="F488" s="33" t="str">
        <f t="shared" si="57"/>
        <v/>
      </c>
      <c r="G488" s="38"/>
      <c r="H488" s="38"/>
      <c r="I488" s="38"/>
      <c r="J488" s="36"/>
      <c r="K488" s="29"/>
      <c r="L488" s="29"/>
      <c r="M488" s="31"/>
      <c r="N488" s="40">
        <f t="shared" si="52"/>
        <v>0</v>
      </c>
      <c r="P488" s="4" t="str">
        <f t="shared" si="53"/>
        <v/>
      </c>
      <c r="Q488" s="4" t="str">
        <f t="shared" si="54"/>
        <v/>
      </c>
      <c r="R488" s="4" t="str">
        <f t="shared" si="55"/>
        <v>/</v>
      </c>
      <c r="S488" s="4" t="str">
        <f t="shared" si="56"/>
        <v/>
      </c>
    </row>
    <row r="489" spans="1:19" x14ac:dyDescent="0.35">
      <c r="A489" s="54"/>
      <c r="B489" s="57"/>
      <c r="C489" s="60"/>
      <c r="D489" s="66" t="str">
        <f t="shared" si="50"/>
        <v/>
      </c>
      <c r="E489" s="64" t="str">
        <f>IF(OR(C489="",A489=""),"",IF(A489&lt;'Page de garde'!$G$7,IF(VALUE(RIGHT(C489,2))&lt;50,66,86),INDEX(EC!$C$2:$C$677,MATCH(C489,EC,0))))</f>
        <v/>
      </c>
      <c r="F489" s="33" t="str">
        <f t="shared" si="57"/>
        <v/>
      </c>
      <c r="G489" s="38"/>
      <c r="H489" s="38"/>
      <c r="I489" s="38"/>
      <c r="J489" s="36"/>
      <c r="K489" s="29"/>
      <c r="L489" s="29"/>
      <c r="M489" s="31"/>
      <c r="N489" s="40">
        <f t="shared" si="52"/>
        <v>0</v>
      </c>
      <c r="P489" s="4" t="str">
        <f t="shared" si="53"/>
        <v/>
      </c>
      <c r="Q489" s="4" t="str">
        <f t="shared" si="54"/>
        <v/>
      </c>
      <c r="R489" s="4" t="str">
        <f t="shared" si="55"/>
        <v>/</v>
      </c>
      <c r="S489" s="4" t="str">
        <f t="shared" si="56"/>
        <v/>
      </c>
    </row>
    <row r="490" spans="1:19" x14ac:dyDescent="0.35">
      <c r="A490" s="54"/>
      <c r="B490" s="57"/>
      <c r="C490" s="60"/>
      <c r="D490" s="66" t="str">
        <f t="shared" si="50"/>
        <v/>
      </c>
      <c r="E490" s="64" t="str">
        <f>IF(OR(C490="",A490=""),"",IF(A490&lt;'Page de garde'!$G$7,IF(VALUE(RIGHT(C490,2))&lt;50,66,86),INDEX(EC!$C$2:$C$677,MATCH(C490,EC,0))))</f>
        <v/>
      </c>
      <c r="F490" s="33" t="str">
        <f t="shared" si="57"/>
        <v/>
      </c>
      <c r="G490" s="38"/>
      <c r="H490" s="38"/>
      <c r="I490" s="38"/>
      <c r="J490" s="36"/>
      <c r="K490" s="29"/>
      <c r="L490" s="29"/>
      <c r="M490" s="31"/>
      <c r="N490" s="40">
        <f t="shared" si="52"/>
        <v>0</v>
      </c>
      <c r="P490" s="4" t="str">
        <f t="shared" si="53"/>
        <v/>
      </c>
      <c r="Q490" s="4" t="str">
        <f t="shared" si="54"/>
        <v/>
      </c>
      <c r="R490" s="4" t="str">
        <f t="shared" si="55"/>
        <v>/</v>
      </c>
      <c r="S490" s="4" t="str">
        <f t="shared" si="56"/>
        <v/>
      </c>
    </row>
    <row r="491" spans="1:19" x14ac:dyDescent="0.35">
      <c r="A491" s="54"/>
      <c r="B491" s="57"/>
      <c r="C491" s="60"/>
      <c r="D491" s="66" t="str">
        <f t="shared" si="50"/>
        <v/>
      </c>
      <c r="E491" s="64" t="str">
        <f>IF(OR(C491="",A491=""),"",IF(A491&lt;'Page de garde'!$G$7,IF(VALUE(RIGHT(C491,2))&lt;50,66,86),INDEX(EC!$C$2:$C$677,MATCH(C491,EC,0))))</f>
        <v/>
      </c>
      <c r="F491" s="33" t="str">
        <f t="shared" si="57"/>
        <v/>
      </c>
      <c r="G491" s="38"/>
      <c r="H491" s="38"/>
      <c r="I491" s="38"/>
      <c r="J491" s="36"/>
      <c r="K491" s="29"/>
      <c r="L491" s="29"/>
      <c r="M491" s="31"/>
      <c r="N491" s="40">
        <f t="shared" si="52"/>
        <v>0</v>
      </c>
      <c r="P491" s="4" t="str">
        <f t="shared" si="53"/>
        <v/>
      </c>
      <c r="Q491" s="4" t="str">
        <f t="shared" si="54"/>
        <v/>
      </c>
      <c r="R491" s="4" t="str">
        <f t="shared" si="55"/>
        <v>/</v>
      </c>
      <c r="S491" s="4" t="str">
        <f t="shared" si="56"/>
        <v/>
      </c>
    </row>
    <row r="492" spans="1:19" x14ac:dyDescent="0.35">
      <c r="A492" s="54"/>
      <c r="B492" s="57"/>
      <c r="C492" s="60"/>
      <c r="D492" s="66" t="str">
        <f t="shared" si="50"/>
        <v/>
      </c>
      <c r="E492" s="64" t="str">
        <f>IF(OR(C492="",A492=""),"",IF(A492&lt;'Page de garde'!$G$7,IF(VALUE(RIGHT(C492,2))&lt;50,66,86),INDEX(EC!$C$2:$C$677,MATCH(C492,EC,0))))</f>
        <v/>
      </c>
      <c r="F492" s="33" t="str">
        <f t="shared" si="57"/>
        <v/>
      </c>
      <c r="G492" s="38"/>
      <c r="H492" s="38"/>
      <c r="I492" s="38"/>
      <c r="J492" s="36"/>
      <c r="K492" s="29"/>
      <c r="L492" s="29"/>
      <c r="M492" s="31"/>
      <c r="N492" s="40">
        <f t="shared" si="52"/>
        <v>0</v>
      </c>
      <c r="P492" s="4" t="str">
        <f t="shared" si="53"/>
        <v/>
      </c>
      <c r="Q492" s="4" t="str">
        <f t="shared" si="54"/>
        <v/>
      </c>
      <c r="R492" s="4" t="str">
        <f t="shared" si="55"/>
        <v>/</v>
      </c>
      <c r="S492" s="4" t="str">
        <f t="shared" si="56"/>
        <v/>
      </c>
    </row>
    <row r="493" spans="1:19" x14ac:dyDescent="0.35">
      <c r="A493" s="54"/>
      <c r="B493" s="57"/>
      <c r="C493" s="60"/>
      <c r="D493" s="66" t="str">
        <f t="shared" si="50"/>
        <v/>
      </c>
      <c r="E493" s="64" t="str">
        <f>IF(OR(C493="",A493=""),"",IF(A493&lt;'Page de garde'!$G$7,IF(VALUE(RIGHT(C493,2))&lt;50,66,86),INDEX(EC!$C$2:$C$677,MATCH(C493,EC,0))))</f>
        <v/>
      </c>
      <c r="F493" s="33" t="str">
        <f t="shared" si="57"/>
        <v/>
      </c>
      <c r="G493" s="38"/>
      <c r="H493" s="38"/>
      <c r="I493" s="38"/>
      <c r="J493" s="36"/>
      <c r="K493" s="29"/>
      <c r="L493" s="29"/>
      <c r="M493" s="31"/>
      <c r="N493" s="40">
        <f t="shared" si="52"/>
        <v>0</v>
      </c>
      <c r="P493" s="4" t="str">
        <f t="shared" si="53"/>
        <v/>
      </c>
      <c r="Q493" s="4" t="str">
        <f t="shared" si="54"/>
        <v/>
      </c>
      <c r="R493" s="4" t="str">
        <f t="shared" si="55"/>
        <v>/</v>
      </c>
      <c r="S493" s="4" t="str">
        <f t="shared" si="56"/>
        <v/>
      </c>
    </row>
    <row r="494" spans="1:19" x14ac:dyDescent="0.35">
      <c r="A494" s="54"/>
      <c r="B494" s="57"/>
      <c r="C494" s="60"/>
      <c r="D494" s="66" t="str">
        <f t="shared" si="50"/>
        <v/>
      </c>
      <c r="E494" s="64" t="str">
        <f>IF(OR(C494="",A494=""),"",IF(A494&lt;'Page de garde'!$G$7,IF(VALUE(RIGHT(C494,2))&lt;50,66,86),INDEX(EC!$C$2:$C$677,MATCH(C494,EC,0))))</f>
        <v/>
      </c>
      <c r="F494" s="33" t="str">
        <f t="shared" si="57"/>
        <v/>
      </c>
      <c r="G494" s="38"/>
      <c r="H494" s="38"/>
      <c r="I494" s="38"/>
      <c r="J494" s="36"/>
      <c r="K494" s="29"/>
      <c r="L494" s="29"/>
      <c r="M494" s="31"/>
      <c r="N494" s="40">
        <f t="shared" si="52"/>
        <v>0</v>
      </c>
      <c r="P494" s="4" t="str">
        <f t="shared" si="53"/>
        <v/>
      </c>
      <c r="Q494" s="4" t="str">
        <f t="shared" si="54"/>
        <v/>
      </c>
      <c r="R494" s="4" t="str">
        <f t="shared" si="55"/>
        <v>/</v>
      </c>
      <c r="S494" s="4" t="str">
        <f t="shared" si="56"/>
        <v/>
      </c>
    </row>
    <row r="495" spans="1:19" x14ac:dyDescent="0.35">
      <c r="A495" s="54"/>
      <c r="B495" s="57"/>
      <c r="C495" s="60"/>
      <c r="D495" s="66" t="str">
        <f t="shared" si="50"/>
        <v/>
      </c>
      <c r="E495" s="64" t="str">
        <f>IF(OR(C495="",A495=""),"",IF(A495&lt;'Page de garde'!$G$7,IF(VALUE(RIGHT(C495,2))&lt;50,66,86),INDEX(EC!$C$2:$C$677,MATCH(C495,EC,0))))</f>
        <v/>
      </c>
      <c r="F495" s="33" t="str">
        <f t="shared" si="57"/>
        <v/>
      </c>
      <c r="G495" s="38"/>
      <c r="H495" s="38"/>
      <c r="I495" s="38"/>
      <c r="J495" s="36"/>
      <c r="K495" s="29"/>
      <c r="L495" s="29"/>
      <c r="M495" s="31"/>
      <c r="N495" s="40">
        <f t="shared" si="52"/>
        <v>0</v>
      </c>
      <c r="P495" s="4" t="str">
        <f t="shared" si="53"/>
        <v/>
      </c>
      <c r="Q495" s="4" t="str">
        <f t="shared" si="54"/>
        <v/>
      </c>
      <c r="R495" s="4" t="str">
        <f t="shared" si="55"/>
        <v>/</v>
      </c>
      <c r="S495" s="4" t="str">
        <f t="shared" si="56"/>
        <v/>
      </c>
    </row>
    <row r="496" spans="1:19" x14ac:dyDescent="0.35">
      <c r="A496" s="54"/>
      <c r="B496" s="57"/>
      <c r="C496" s="60"/>
      <c r="D496" s="66" t="str">
        <f t="shared" si="50"/>
        <v/>
      </c>
      <c r="E496" s="64" t="str">
        <f>IF(OR(C496="",A496=""),"",IF(A496&lt;'Page de garde'!$G$7,IF(VALUE(RIGHT(C496,2))&lt;50,66,86),INDEX(EC!$C$2:$C$677,MATCH(C496,EC,0))))</f>
        <v/>
      </c>
      <c r="F496" s="33" t="str">
        <f t="shared" si="57"/>
        <v/>
      </c>
      <c r="G496" s="38"/>
      <c r="H496" s="38"/>
      <c r="I496" s="38"/>
      <c r="J496" s="36"/>
      <c r="K496" s="29"/>
      <c r="L496" s="29"/>
      <c r="M496" s="31"/>
      <c r="N496" s="40">
        <f t="shared" si="52"/>
        <v>0</v>
      </c>
      <c r="P496" s="4" t="str">
        <f t="shared" si="53"/>
        <v/>
      </c>
      <c r="Q496" s="4" t="str">
        <f t="shared" si="54"/>
        <v/>
      </c>
      <c r="R496" s="4" t="str">
        <f t="shared" si="55"/>
        <v>/</v>
      </c>
      <c r="S496" s="4" t="str">
        <f t="shared" si="56"/>
        <v/>
      </c>
    </row>
    <row r="497" spans="1:19" x14ac:dyDescent="0.35">
      <c r="A497" s="54"/>
      <c r="B497" s="57"/>
      <c r="C497" s="60"/>
      <c r="D497" s="66" t="str">
        <f t="shared" si="50"/>
        <v/>
      </c>
      <c r="E497" s="64" t="str">
        <f>IF(OR(C497="",A497=""),"",IF(A497&lt;'Page de garde'!$G$7,IF(VALUE(RIGHT(C497,2))&lt;50,66,86),INDEX(EC!$C$2:$C$677,MATCH(C497,EC,0))))</f>
        <v/>
      </c>
      <c r="F497" s="33" t="str">
        <f t="shared" si="57"/>
        <v/>
      </c>
      <c r="G497" s="38"/>
      <c r="H497" s="38"/>
      <c r="I497" s="38"/>
      <c r="J497" s="36"/>
      <c r="K497" s="29"/>
      <c r="L497" s="29"/>
      <c r="M497" s="31"/>
      <c r="N497" s="40">
        <f t="shared" si="52"/>
        <v>0</v>
      </c>
      <c r="P497" s="4" t="str">
        <f t="shared" si="53"/>
        <v/>
      </c>
      <c r="Q497" s="4" t="str">
        <f t="shared" si="54"/>
        <v/>
      </c>
      <c r="R497" s="4" t="str">
        <f t="shared" si="55"/>
        <v>/</v>
      </c>
      <c r="S497" s="4" t="str">
        <f t="shared" si="56"/>
        <v/>
      </c>
    </row>
    <row r="498" spans="1:19" x14ac:dyDescent="0.35">
      <c r="A498" s="54"/>
      <c r="B498" s="57"/>
      <c r="C498" s="60"/>
      <c r="D498" s="66" t="str">
        <f t="shared" si="50"/>
        <v/>
      </c>
      <c r="E498" s="64" t="str">
        <f>IF(OR(C498="",A498=""),"",IF(A498&lt;'Page de garde'!$G$7,IF(VALUE(RIGHT(C498,2))&lt;50,66,86),INDEX(EC!$C$2:$C$677,MATCH(C498,EC,0))))</f>
        <v/>
      </c>
      <c r="F498" s="33" t="str">
        <f t="shared" si="57"/>
        <v/>
      </c>
      <c r="G498" s="38"/>
      <c r="H498" s="38"/>
      <c r="I498" s="38"/>
      <c r="J498" s="36"/>
      <c r="K498" s="29"/>
      <c r="L498" s="29"/>
      <c r="M498" s="31"/>
      <c r="N498" s="40">
        <f t="shared" si="52"/>
        <v>0</v>
      </c>
      <c r="P498" s="4" t="str">
        <f t="shared" si="53"/>
        <v/>
      </c>
      <c r="Q498" s="4" t="str">
        <f t="shared" si="54"/>
        <v/>
      </c>
      <c r="R498" s="4" t="str">
        <f t="shared" si="55"/>
        <v>/</v>
      </c>
      <c r="S498" s="4" t="str">
        <f t="shared" si="56"/>
        <v/>
      </c>
    </row>
    <row r="499" spans="1:19" x14ac:dyDescent="0.35">
      <c r="A499" s="54"/>
      <c r="B499" s="57"/>
      <c r="C499" s="60"/>
      <c r="D499" s="66" t="str">
        <f t="shared" si="50"/>
        <v/>
      </c>
      <c r="E499" s="64" t="str">
        <f>IF(OR(C499="",A499=""),"",IF(A499&lt;'Page de garde'!$G$7,IF(VALUE(RIGHT(C499,2))&lt;50,66,86),INDEX(EC!$C$2:$C$677,MATCH(C499,EC,0))))</f>
        <v/>
      </c>
      <c r="F499" s="33" t="str">
        <f t="shared" si="57"/>
        <v/>
      </c>
      <c r="G499" s="38"/>
      <c r="H499" s="38"/>
      <c r="I499" s="38"/>
      <c r="J499" s="36"/>
      <c r="K499" s="29"/>
      <c r="L499" s="29"/>
      <c r="M499" s="31"/>
      <c r="N499" s="40">
        <f t="shared" si="52"/>
        <v>0</v>
      </c>
      <c r="P499" s="4" t="str">
        <f t="shared" si="53"/>
        <v/>
      </c>
      <c r="Q499" s="4" t="str">
        <f t="shared" si="54"/>
        <v/>
      </c>
      <c r="R499" s="4" t="str">
        <f t="shared" si="55"/>
        <v>/</v>
      </c>
      <c r="S499" s="4" t="str">
        <f t="shared" si="56"/>
        <v/>
      </c>
    </row>
    <row r="500" spans="1:19" x14ac:dyDescent="0.35">
      <c r="A500" s="54"/>
      <c r="B500" s="57"/>
      <c r="C500" s="60"/>
      <c r="D500" s="66" t="str">
        <f t="shared" si="50"/>
        <v/>
      </c>
      <c r="E500" s="64" t="str">
        <f>IF(OR(C500="",A500=""),"",IF(A500&lt;'Page de garde'!$G$7,IF(VALUE(RIGHT(C500,2))&lt;50,66,86),INDEX(EC!$C$2:$C$677,MATCH(C500,EC,0))))</f>
        <v/>
      </c>
      <c r="F500" s="33" t="str">
        <f t="shared" si="57"/>
        <v/>
      </c>
      <c r="G500" s="38"/>
      <c r="H500" s="38"/>
      <c r="I500" s="38"/>
      <c r="J500" s="36"/>
      <c r="K500" s="29"/>
      <c r="L500" s="29"/>
      <c r="M500" s="31"/>
      <c r="N500" s="40">
        <f t="shared" si="52"/>
        <v>0</v>
      </c>
      <c r="P500" s="4" t="str">
        <f t="shared" si="53"/>
        <v/>
      </c>
      <c r="Q500" s="4" t="str">
        <f t="shared" si="54"/>
        <v/>
      </c>
      <c r="R500" s="4" t="str">
        <f t="shared" si="55"/>
        <v>/</v>
      </c>
      <c r="S500" s="4" t="str">
        <f t="shared" si="56"/>
        <v/>
      </c>
    </row>
    <row r="501" spans="1:19" x14ac:dyDescent="0.35">
      <c r="A501" s="54"/>
      <c r="B501" s="57"/>
      <c r="C501" s="60"/>
      <c r="D501" s="66" t="str">
        <f t="shared" si="50"/>
        <v/>
      </c>
      <c r="E501" s="64" t="str">
        <f>IF(OR(C501="",A501=""),"",IF(A501&lt;'Page de garde'!$G$7,IF(VALUE(RIGHT(C501,2))&lt;50,66,86),INDEX(EC!$C$2:$C$677,MATCH(C501,EC,0))))</f>
        <v/>
      </c>
      <c r="F501" s="33" t="str">
        <f t="shared" si="57"/>
        <v/>
      </c>
      <c r="G501" s="38"/>
      <c r="H501" s="38"/>
      <c r="I501" s="38"/>
      <c r="J501" s="36"/>
      <c r="K501" s="29"/>
      <c r="L501" s="29"/>
      <c r="M501" s="31"/>
      <c r="N501" s="40">
        <f t="shared" si="52"/>
        <v>0</v>
      </c>
      <c r="P501" s="4" t="str">
        <f t="shared" si="53"/>
        <v/>
      </c>
      <c r="Q501" s="4" t="str">
        <f t="shared" si="54"/>
        <v/>
      </c>
      <c r="R501" s="4" t="str">
        <f t="shared" si="55"/>
        <v>/</v>
      </c>
      <c r="S501" s="4" t="str">
        <f t="shared" si="56"/>
        <v/>
      </c>
    </row>
    <row r="502" spans="1:19" x14ac:dyDescent="0.35">
      <c r="A502" s="54"/>
      <c r="B502" s="57"/>
      <c r="C502" s="60"/>
      <c r="D502" s="66" t="str">
        <f t="shared" si="50"/>
        <v/>
      </c>
      <c r="E502" s="64" t="str">
        <f>IF(OR(C502="",A502=""),"",IF(A502&lt;'Page de garde'!$G$7,IF(VALUE(RIGHT(C502,2))&lt;50,66,86),INDEX(EC!$C$2:$C$677,MATCH(C502,EC,0))))</f>
        <v/>
      </c>
      <c r="F502" s="33" t="str">
        <f t="shared" si="57"/>
        <v/>
      </c>
      <c r="G502" s="38"/>
      <c r="H502" s="38"/>
      <c r="I502" s="38"/>
      <c r="J502" s="36"/>
      <c r="K502" s="29"/>
      <c r="L502" s="29"/>
      <c r="M502" s="31"/>
      <c r="N502" s="40">
        <f t="shared" si="52"/>
        <v>0</v>
      </c>
      <c r="P502" s="4" t="str">
        <f t="shared" si="53"/>
        <v/>
      </c>
      <c r="Q502" s="4" t="str">
        <f t="shared" si="54"/>
        <v/>
      </c>
      <c r="R502" s="4" t="str">
        <f t="shared" si="55"/>
        <v>/</v>
      </c>
      <c r="S502" s="4" t="str">
        <f t="shared" si="56"/>
        <v/>
      </c>
    </row>
    <row r="503" spans="1:19" x14ac:dyDescent="0.35">
      <c r="A503" s="54"/>
      <c r="B503" s="57"/>
      <c r="C503" s="60"/>
      <c r="D503" s="66" t="str">
        <f t="shared" si="50"/>
        <v/>
      </c>
      <c r="E503" s="64" t="str">
        <f>IF(OR(C503="",A503=""),"",IF(A503&lt;'Page de garde'!$G$7,IF(VALUE(RIGHT(C503,2))&lt;50,66,86),INDEX(EC!$C$2:$C$677,MATCH(C503,EC,0))))</f>
        <v/>
      </c>
      <c r="F503" s="33" t="str">
        <f t="shared" si="57"/>
        <v/>
      </c>
      <c r="G503" s="38"/>
      <c r="H503" s="38"/>
      <c r="I503" s="38"/>
      <c r="J503" s="36"/>
      <c r="K503" s="29"/>
      <c r="L503" s="29"/>
      <c r="M503" s="31"/>
      <c r="N503" s="40">
        <f t="shared" si="52"/>
        <v>0</v>
      </c>
      <c r="P503" s="4" t="str">
        <f t="shared" si="53"/>
        <v/>
      </c>
      <c r="Q503" s="4" t="str">
        <f t="shared" si="54"/>
        <v/>
      </c>
      <c r="R503" s="4" t="str">
        <f t="shared" si="55"/>
        <v>/</v>
      </c>
      <c r="S503" s="4" t="str">
        <f t="shared" si="56"/>
        <v/>
      </c>
    </row>
    <row r="504" spans="1:19" ht="15" thickBot="1" x14ac:dyDescent="0.4">
      <c r="A504" s="55"/>
      <c r="B504" s="58"/>
      <c r="C504" s="61"/>
      <c r="D504" s="67" t="str">
        <f t="shared" si="50"/>
        <v/>
      </c>
      <c r="E504" s="65" t="str">
        <f>IF(OR(C504="",A504=""),"",IF(A504&lt;'Page de garde'!$G$7,IF(VALUE(RIGHT(C504,2))&lt;50,66,86),INDEX(EC!$C$2:$C$677,MATCH(C504,EC,0))))</f>
        <v/>
      </c>
      <c r="F504" s="34" t="str">
        <f t="shared" si="57"/>
        <v/>
      </c>
      <c r="G504" s="170"/>
      <c r="H504" s="170"/>
      <c r="I504" s="170"/>
      <c r="J504" s="171"/>
      <c r="K504" s="172"/>
      <c r="L504" s="172"/>
      <c r="M504" s="173"/>
      <c r="N504" s="41">
        <f t="shared" si="52"/>
        <v>0</v>
      </c>
      <c r="P504" s="4" t="str">
        <f t="shared" si="53"/>
        <v/>
      </c>
      <c r="Q504" s="4" t="str">
        <f t="shared" si="54"/>
        <v/>
      </c>
      <c r="R504" s="4" t="str">
        <f t="shared" si="55"/>
        <v>/</v>
      </c>
      <c r="S504" s="4" t="str">
        <f t="shared" si="56"/>
        <v/>
      </c>
    </row>
    <row r="505" spans="1:19" x14ac:dyDescent="0.35">
      <c r="A505" s="9"/>
      <c r="N505" s="287">
        <f>SUBTOTAL(9,N5:N504)</f>
        <v>0</v>
      </c>
    </row>
  </sheetData>
  <sheetProtection autoFilter="0"/>
  <phoneticPr fontId="0" type="noConversion"/>
  <conditionalFormatting sqref="N5:N504">
    <cfRule type="cellIs" dxfId="18" priority="1" stopIfTrue="1" operator="lessThan">
      <formula>0</formula>
    </cfRule>
  </conditionalFormatting>
  <dataValidations count="4">
    <dataValidation type="list" allowBlank="1" showInputMessage="1" showErrorMessage="1" errorTitle="Begrotingsjaar:" error="ONGELDIGE INVOER" sqref="A6:A504">
      <formula1>Jaren</formula1>
    </dataValidation>
    <dataValidation type="textLength" allowBlank="1" showInputMessage="1" showErrorMessage="1" errorTitle="Functionele code:" error="Het minimum aantal karakters is 3 en het maximaal aantal is 5." sqref="B5:B504">
      <formula1>3</formula1>
      <formula2>5</formula2>
    </dataValidation>
    <dataValidation type="list" allowBlank="1" showInputMessage="1" showErrorMessage="1" errorTitle="Code économique:" error="Code économique non autorisé!" sqref="C5:C504">
      <formula1>EC</formula1>
    </dataValidation>
    <dataValidation type="list" allowBlank="1" showInputMessage="1" showErrorMessage="1" errorTitle="Exercice" error="Input invalide" sqref="A5">
      <formula1>Jaren</formula1>
    </dataValidation>
  </dataValidations>
  <pageMargins left="0.75" right="0.18" top="1" bottom="1" header="0.5" footer="0.5"/>
  <pageSetup paperSize="9" scale="90" orientation="landscape" horizontalDpi="300" verticalDpi="300" r:id="rId1"/>
  <headerFooter alignWithMargins="0">
    <oddFooter>&amp;R&amp;A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6"/>
  <dimension ref="A1:S505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baseColWidth="10" defaultColWidth="9.109375" defaultRowHeight="14.4" x14ac:dyDescent="0.35"/>
  <cols>
    <col min="1" max="1" width="6.33203125" style="3" customWidth="1"/>
    <col min="2" max="2" width="7.5546875" style="3" bestFit="1" customWidth="1"/>
    <col min="3" max="3" width="8.6640625" style="4" bestFit="1" customWidth="1"/>
    <col min="4" max="4" width="18" style="4" bestFit="1" customWidth="1"/>
    <col min="5" max="5" width="12.5546875" style="4" bestFit="1" customWidth="1"/>
    <col min="6" max="6" width="46" style="4" customWidth="1"/>
    <col min="7" max="13" width="15.6640625" style="4" customWidth="1"/>
    <col min="14" max="14" width="15.6640625" style="27" customWidth="1"/>
    <col min="15" max="15" width="9.109375" style="4" customWidth="1"/>
    <col min="16" max="17" width="0" style="4" hidden="1" customWidth="1"/>
    <col min="18" max="18" width="19.6640625" style="4" hidden="1" customWidth="1"/>
    <col min="19" max="19" width="0" style="4" hidden="1" customWidth="1"/>
    <col min="20" max="16384" width="9.109375" style="4"/>
  </cols>
  <sheetData>
    <row r="1" spans="1:19" ht="16.8" thickBot="1" x14ac:dyDescent="0.4">
      <c r="A1" s="105" t="s">
        <v>560</v>
      </c>
      <c r="B1" s="106"/>
      <c r="C1" s="107"/>
      <c r="D1" s="107"/>
      <c r="E1" s="107"/>
      <c r="F1" s="108"/>
      <c r="G1" s="46"/>
      <c r="H1" s="46"/>
      <c r="I1" s="46"/>
      <c r="J1" s="46"/>
      <c r="K1" s="46"/>
      <c r="L1" s="46"/>
      <c r="M1" s="46"/>
      <c r="N1" s="47"/>
    </row>
    <row r="2" spans="1:19" x14ac:dyDescent="0.35">
      <c r="A2" s="10" t="str">
        <f>"Document nécessaire : budget " &amp;'Page de garde'!G7</f>
        <v>Document nécessaire : budget 2021</v>
      </c>
      <c r="I2" s="245"/>
    </row>
    <row r="3" spans="1:19" ht="15" thickBot="1" x14ac:dyDescent="0.4">
      <c r="I3" s="245"/>
    </row>
    <row r="4" spans="1:19" ht="15" thickBot="1" x14ac:dyDescent="0.4">
      <c r="A4" s="43" t="s">
        <v>414</v>
      </c>
      <c r="B4" s="43" t="s">
        <v>719</v>
      </c>
      <c r="C4" s="43" t="s">
        <v>418</v>
      </c>
      <c r="D4" s="48" t="s">
        <v>415</v>
      </c>
      <c r="E4" s="8" t="s">
        <v>419</v>
      </c>
      <c r="F4" s="49" t="s">
        <v>417</v>
      </c>
      <c r="G4" s="43" t="str">
        <f>"Compte " &amp; 'Page de garde'!G7-2</f>
        <v>Compte 2019</v>
      </c>
      <c r="H4" s="43" t="str">
        <f>"Budget " &amp;'Page de garde'!G7-1</f>
        <v>Budget 2020</v>
      </c>
      <c r="I4" s="43" t="str">
        <f>"Budget " &amp; 'Page de garde'!G7</f>
        <v>Budget 2021</v>
      </c>
      <c r="J4" s="48" t="s">
        <v>532</v>
      </c>
      <c r="K4" s="8" t="s">
        <v>533</v>
      </c>
      <c r="L4" s="8" t="s">
        <v>534</v>
      </c>
      <c r="M4" s="49" t="s">
        <v>535</v>
      </c>
      <c r="N4" s="50" t="str">
        <f>I4</f>
        <v>Budget 2021</v>
      </c>
      <c r="P4" s="4" t="s">
        <v>557</v>
      </c>
      <c r="Q4" s="4" t="s">
        <v>531</v>
      </c>
      <c r="R4" s="4" t="s">
        <v>718</v>
      </c>
      <c r="S4" s="4" t="s">
        <v>555</v>
      </c>
    </row>
    <row r="5" spans="1:19" x14ac:dyDescent="0.35">
      <c r="A5" s="53"/>
      <c r="B5" s="56"/>
      <c r="C5" s="59"/>
      <c r="D5" s="6" t="str">
        <f t="shared" ref="D5:D68" si="0">IF(OR(B5="",C5=""),"",CONCATENATE(B5,"/",LEFT(C5,3),"-",RIGHT(C5,2)))</f>
        <v/>
      </c>
      <c r="E5" s="62" t="str">
        <f>IF(OR(C5="",A5=""),"",IF(A5&lt;'Page de garde'!$G$7,IF(VALUE(RIGHT(C5,2))&lt;50,76,96),INDEX(EC!$C$2:$C$677,MATCH(C5,EC,0))))</f>
        <v/>
      </c>
      <c r="F5" s="32" t="str">
        <f t="shared" ref="F5:F68" si="1">IF(C5="","",INDEX(OmEC,MATCH(C5,EC,0)))</f>
        <v/>
      </c>
      <c r="G5" s="37"/>
      <c r="H5" s="37"/>
      <c r="I5" s="37"/>
      <c r="J5" s="35"/>
      <c r="K5" s="28"/>
      <c r="L5" s="28"/>
      <c r="M5" s="30"/>
      <c r="N5" s="51">
        <f t="shared" ref="N5:N68" si="2">SUM(I5:M5)</f>
        <v>0</v>
      </c>
      <c r="P5" s="4" t="str">
        <f t="shared" ref="P5:P68" si="3">LEFT(C5,3)</f>
        <v/>
      </c>
      <c r="Q5" s="4" t="str">
        <f>IF(C5="","",IF(VALUE(RIGHT(C5,2))&lt;50,"G","B"))</f>
        <v/>
      </c>
      <c r="R5" s="4" t="str">
        <f>CONCATENATE(D5,"/",A5)</f>
        <v>/</v>
      </c>
      <c r="S5" s="4" t="str">
        <f>LEFT(B5,3)</f>
        <v/>
      </c>
    </row>
    <row r="6" spans="1:19" x14ac:dyDescent="0.35">
      <c r="A6" s="54"/>
      <c r="B6" s="57"/>
      <c r="C6" s="60"/>
      <c r="D6" s="7" t="str">
        <f t="shared" si="0"/>
        <v/>
      </c>
      <c r="E6" s="63" t="str">
        <f>IF(OR(C6="",A6=""),"",IF(A6&lt;'Page de garde'!$G$7,IF(VALUE(RIGHT(C6,2))&lt;50,76,96),INDEX(EC!$C$2:$C$677,MATCH(C6,EC,0))))</f>
        <v/>
      </c>
      <c r="F6" s="33" t="str">
        <f t="shared" si="1"/>
        <v/>
      </c>
      <c r="G6" s="38"/>
      <c r="H6" s="38"/>
      <c r="I6" s="38"/>
      <c r="J6" s="36"/>
      <c r="K6" s="29"/>
      <c r="L6" s="29"/>
      <c r="M6" s="31"/>
      <c r="N6" s="39">
        <f t="shared" si="2"/>
        <v>0</v>
      </c>
      <c r="P6" s="4" t="str">
        <f t="shared" si="3"/>
        <v/>
      </c>
      <c r="Q6" s="4" t="str">
        <f t="shared" ref="Q6:Q69" si="4">IF(C6="","",IF(VALUE(RIGHT(C6,2))&lt;50,"G","B"))</f>
        <v/>
      </c>
      <c r="R6" s="4" t="str">
        <f t="shared" ref="R6:R69" si="5">CONCATENATE(D6,"/",A6)</f>
        <v>/</v>
      </c>
      <c r="S6" s="4" t="str">
        <f t="shared" ref="S6:S69" si="6">LEFT(B6,3)</f>
        <v/>
      </c>
    </row>
    <row r="7" spans="1:19" x14ac:dyDescent="0.35">
      <c r="A7" s="54"/>
      <c r="B7" s="57"/>
      <c r="C7" s="60"/>
      <c r="D7" s="7" t="str">
        <f t="shared" si="0"/>
        <v/>
      </c>
      <c r="E7" s="63" t="str">
        <f>IF(OR(C7="",A7=""),"",IF(A7&lt;'Page de garde'!$G$7,IF(VALUE(RIGHT(C7,2))&lt;50,76,96),INDEX(EC!$C$2:$C$677,MATCH(C7,EC,0))))</f>
        <v/>
      </c>
      <c r="F7" s="33" t="str">
        <f t="shared" si="1"/>
        <v/>
      </c>
      <c r="G7" s="38"/>
      <c r="H7" s="38"/>
      <c r="I7" s="38"/>
      <c r="J7" s="36"/>
      <c r="K7" s="29"/>
      <c r="L7" s="29"/>
      <c r="M7" s="31"/>
      <c r="N7" s="39">
        <f t="shared" si="2"/>
        <v>0</v>
      </c>
      <c r="P7" s="4" t="str">
        <f t="shared" si="3"/>
        <v/>
      </c>
      <c r="Q7" s="4" t="str">
        <f t="shared" si="4"/>
        <v/>
      </c>
      <c r="R7" s="4" t="str">
        <f t="shared" si="5"/>
        <v>/</v>
      </c>
      <c r="S7" s="4" t="str">
        <f t="shared" si="6"/>
        <v/>
      </c>
    </row>
    <row r="8" spans="1:19" x14ac:dyDescent="0.35">
      <c r="A8" s="54"/>
      <c r="B8" s="57"/>
      <c r="C8" s="60"/>
      <c r="D8" s="7" t="str">
        <f t="shared" si="0"/>
        <v/>
      </c>
      <c r="E8" s="63" t="str">
        <f>IF(OR(C8="",A8=""),"",IF(A8&lt;'Page de garde'!$G$7,IF(VALUE(RIGHT(C8,2))&lt;50,76,96),INDEX(EC!$C$2:$C$677,MATCH(C8,EC,0))))</f>
        <v/>
      </c>
      <c r="F8" s="33" t="str">
        <f t="shared" si="1"/>
        <v/>
      </c>
      <c r="G8" s="38"/>
      <c r="H8" s="38"/>
      <c r="I8" s="38"/>
      <c r="J8" s="36"/>
      <c r="K8" s="29"/>
      <c r="L8" s="29"/>
      <c r="M8" s="31"/>
      <c r="N8" s="39">
        <f t="shared" si="2"/>
        <v>0</v>
      </c>
      <c r="P8" s="4" t="str">
        <f t="shared" si="3"/>
        <v/>
      </c>
      <c r="Q8" s="4" t="str">
        <f t="shared" si="4"/>
        <v/>
      </c>
      <c r="R8" s="4" t="str">
        <f t="shared" si="5"/>
        <v>/</v>
      </c>
      <c r="S8" s="4" t="str">
        <f t="shared" si="6"/>
        <v/>
      </c>
    </row>
    <row r="9" spans="1:19" x14ac:dyDescent="0.35">
      <c r="A9" s="54"/>
      <c r="B9" s="57"/>
      <c r="C9" s="60"/>
      <c r="D9" s="7" t="str">
        <f t="shared" si="0"/>
        <v/>
      </c>
      <c r="E9" s="63" t="str">
        <f>IF(OR(C9="",A9=""),"",IF(A9&lt;'Page de garde'!$G$7,IF(VALUE(RIGHT(C9,2))&lt;50,76,96),INDEX(EC!$C$2:$C$677,MATCH(C9,EC,0))))</f>
        <v/>
      </c>
      <c r="F9" s="33" t="str">
        <f t="shared" si="1"/>
        <v/>
      </c>
      <c r="G9" s="38"/>
      <c r="H9" s="38"/>
      <c r="I9" s="38"/>
      <c r="J9" s="36"/>
      <c r="K9" s="29"/>
      <c r="L9" s="29"/>
      <c r="M9" s="31"/>
      <c r="N9" s="39">
        <f t="shared" si="2"/>
        <v>0</v>
      </c>
      <c r="P9" s="4" t="str">
        <f t="shared" si="3"/>
        <v/>
      </c>
      <c r="Q9" s="4" t="str">
        <f t="shared" si="4"/>
        <v/>
      </c>
      <c r="R9" s="4" t="str">
        <f t="shared" si="5"/>
        <v>/</v>
      </c>
      <c r="S9" s="4" t="str">
        <f t="shared" si="6"/>
        <v/>
      </c>
    </row>
    <row r="10" spans="1:19" x14ac:dyDescent="0.35">
      <c r="A10" s="54"/>
      <c r="B10" s="57"/>
      <c r="C10" s="60"/>
      <c r="D10" s="7" t="str">
        <f t="shared" si="0"/>
        <v/>
      </c>
      <c r="E10" s="63" t="str">
        <f>IF(OR(C10="",A10=""),"",IF(A10&lt;'Page de garde'!$G$7,IF(VALUE(RIGHT(C10,2))&lt;50,76,96),INDEX(EC!$C$2:$C$677,MATCH(C10,EC,0))))</f>
        <v/>
      </c>
      <c r="F10" s="33" t="str">
        <f t="shared" si="1"/>
        <v/>
      </c>
      <c r="G10" s="38"/>
      <c r="H10" s="38"/>
      <c r="I10" s="38"/>
      <c r="J10" s="36"/>
      <c r="K10" s="29"/>
      <c r="L10" s="29"/>
      <c r="M10" s="31"/>
      <c r="N10" s="39">
        <f t="shared" si="2"/>
        <v>0</v>
      </c>
      <c r="P10" s="4" t="str">
        <f t="shared" si="3"/>
        <v/>
      </c>
      <c r="Q10" s="4" t="str">
        <f t="shared" si="4"/>
        <v/>
      </c>
      <c r="R10" s="4" t="str">
        <f t="shared" si="5"/>
        <v>/</v>
      </c>
      <c r="S10" s="4" t="str">
        <f t="shared" si="6"/>
        <v/>
      </c>
    </row>
    <row r="11" spans="1:19" x14ac:dyDescent="0.35">
      <c r="A11" s="54"/>
      <c r="B11" s="57"/>
      <c r="C11" s="60"/>
      <c r="D11" s="7" t="str">
        <f t="shared" si="0"/>
        <v/>
      </c>
      <c r="E11" s="63" t="str">
        <f>IF(OR(C11="",A11=""),"",IF(A11&lt;'Page de garde'!$G$7,IF(VALUE(RIGHT(C11,2))&lt;50,76,96),INDEX(EC!$C$2:$C$677,MATCH(C11,EC,0))))</f>
        <v/>
      </c>
      <c r="F11" s="33" t="str">
        <f t="shared" si="1"/>
        <v/>
      </c>
      <c r="G11" s="38"/>
      <c r="H11" s="38"/>
      <c r="I11" s="38"/>
      <c r="J11" s="36"/>
      <c r="K11" s="29"/>
      <c r="L11" s="29"/>
      <c r="M11" s="31"/>
      <c r="N11" s="39">
        <f t="shared" si="2"/>
        <v>0</v>
      </c>
      <c r="P11" s="4" t="str">
        <f t="shared" si="3"/>
        <v/>
      </c>
      <c r="Q11" s="4" t="str">
        <f t="shared" si="4"/>
        <v/>
      </c>
      <c r="R11" s="4" t="str">
        <f t="shared" si="5"/>
        <v>/</v>
      </c>
      <c r="S11" s="4" t="str">
        <f t="shared" si="6"/>
        <v/>
      </c>
    </row>
    <row r="12" spans="1:19" x14ac:dyDescent="0.35">
      <c r="A12" s="54"/>
      <c r="B12" s="57"/>
      <c r="C12" s="60"/>
      <c r="D12" s="7" t="str">
        <f t="shared" si="0"/>
        <v/>
      </c>
      <c r="E12" s="63" t="str">
        <f>IF(OR(C12="",A12=""),"",IF(A12&lt;'Page de garde'!$G$7,IF(VALUE(RIGHT(C12,2))&lt;50,76,96),INDEX(EC!$C$2:$C$677,MATCH(C12,EC,0))))</f>
        <v/>
      </c>
      <c r="F12" s="33" t="str">
        <f t="shared" si="1"/>
        <v/>
      </c>
      <c r="G12" s="38"/>
      <c r="H12" s="38"/>
      <c r="I12" s="38"/>
      <c r="J12" s="36"/>
      <c r="K12" s="29"/>
      <c r="L12" s="29"/>
      <c r="M12" s="31"/>
      <c r="N12" s="39">
        <f t="shared" si="2"/>
        <v>0</v>
      </c>
      <c r="P12" s="4" t="str">
        <f t="shared" si="3"/>
        <v/>
      </c>
      <c r="Q12" s="4" t="str">
        <f t="shared" si="4"/>
        <v/>
      </c>
      <c r="R12" s="4" t="str">
        <f t="shared" si="5"/>
        <v>/</v>
      </c>
      <c r="S12" s="4" t="str">
        <f t="shared" si="6"/>
        <v/>
      </c>
    </row>
    <row r="13" spans="1:19" x14ac:dyDescent="0.35">
      <c r="A13" s="54"/>
      <c r="B13" s="57"/>
      <c r="C13" s="60"/>
      <c r="D13" s="7" t="str">
        <f t="shared" si="0"/>
        <v/>
      </c>
      <c r="E13" s="63" t="str">
        <f>IF(OR(C13="",A13=""),"",IF(A13&lt;'Page de garde'!$G$7,IF(VALUE(RIGHT(C13,2))&lt;50,76,96),INDEX(EC!$C$2:$C$677,MATCH(C13,EC,0))))</f>
        <v/>
      </c>
      <c r="F13" s="33" t="str">
        <f t="shared" si="1"/>
        <v/>
      </c>
      <c r="G13" s="38"/>
      <c r="H13" s="38"/>
      <c r="I13" s="38"/>
      <c r="J13" s="36"/>
      <c r="K13" s="29"/>
      <c r="L13" s="29"/>
      <c r="M13" s="31"/>
      <c r="N13" s="39">
        <f t="shared" si="2"/>
        <v>0</v>
      </c>
      <c r="P13" s="4" t="str">
        <f t="shared" si="3"/>
        <v/>
      </c>
      <c r="Q13" s="4" t="str">
        <f t="shared" si="4"/>
        <v/>
      </c>
      <c r="R13" s="4" t="str">
        <f t="shared" si="5"/>
        <v>/</v>
      </c>
      <c r="S13" s="4" t="str">
        <f t="shared" si="6"/>
        <v/>
      </c>
    </row>
    <row r="14" spans="1:19" x14ac:dyDescent="0.35">
      <c r="A14" s="54"/>
      <c r="B14" s="57"/>
      <c r="C14" s="60"/>
      <c r="D14" s="7" t="str">
        <f t="shared" si="0"/>
        <v/>
      </c>
      <c r="E14" s="63" t="str">
        <f>IF(OR(C14="",A14=""),"",IF(A14&lt;'Page de garde'!$G$7,IF(VALUE(RIGHT(C14,2))&lt;50,76,96),INDEX(EC!$C$2:$C$677,MATCH(C14,EC,0))))</f>
        <v/>
      </c>
      <c r="F14" s="33" t="str">
        <f t="shared" si="1"/>
        <v/>
      </c>
      <c r="G14" s="38"/>
      <c r="H14" s="38"/>
      <c r="I14" s="38"/>
      <c r="J14" s="36"/>
      <c r="K14" s="29"/>
      <c r="L14" s="29"/>
      <c r="M14" s="31"/>
      <c r="N14" s="39">
        <f t="shared" si="2"/>
        <v>0</v>
      </c>
      <c r="P14" s="4" t="str">
        <f t="shared" si="3"/>
        <v/>
      </c>
      <c r="Q14" s="4" t="str">
        <f t="shared" si="4"/>
        <v/>
      </c>
      <c r="R14" s="4" t="str">
        <f t="shared" si="5"/>
        <v>/</v>
      </c>
      <c r="S14" s="4" t="str">
        <f t="shared" si="6"/>
        <v/>
      </c>
    </row>
    <row r="15" spans="1:19" x14ac:dyDescent="0.35">
      <c r="A15" s="54"/>
      <c r="B15" s="57"/>
      <c r="C15" s="60"/>
      <c r="D15" s="7" t="str">
        <f t="shared" si="0"/>
        <v/>
      </c>
      <c r="E15" s="63" t="str">
        <f>IF(OR(C15="",A15=""),"",IF(A15&lt;'Page de garde'!$G$7,IF(VALUE(RIGHT(C15,2))&lt;50,76,96),INDEX(EC!$C$2:$C$677,MATCH(C15,EC,0))))</f>
        <v/>
      </c>
      <c r="F15" s="33" t="str">
        <f t="shared" si="1"/>
        <v/>
      </c>
      <c r="G15" s="38"/>
      <c r="H15" s="38"/>
      <c r="I15" s="38"/>
      <c r="J15" s="36"/>
      <c r="K15" s="29"/>
      <c r="L15" s="29"/>
      <c r="M15" s="31"/>
      <c r="N15" s="39">
        <f t="shared" si="2"/>
        <v>0</v>
      </c>
      <c r="P15" s="4" t="str">
        <f t="shared" si="3"/>
        <v/>
      </c>
      <c r="Q15" s="4" t="str">
        <f t="shared" si="4"/>
        <v/>
      </c>
      <c r="R15" s="4" t="str">
        <f t="shared" si="5"/>
        <v>/</v>
      </c>
      <c r="S15" s="4" t="str">
        <f t="shared" si="6"/>
        <v/>
      </c>
    </row>
    <row r="16" spans="1:19" x14ac:dyDescent="0.35">
      <c r="A16" s="54"/>
      <c r="B16" s="57"/>
      <c r="C16" s="60"/>
      <c r="D16" s="7" t="str">
        <f t="shared" si="0"/>
        <v/>
      </c>
      <c r="E16" s="63" t="str">
        <f>IF(OR(C16="",A16=""),"",IF(A16&lt;'Page de garde'!$G$7,IF(VALUE(RIGHT(C16,2))&lt;50,76,96),INDEX(EC!$C$2:$C$677,MATCH(C16,EC,0))))</f>
        <v/>
      </c>
      <c r="F16" s="33" t="str">
        <f t="shared" si="1"/>
        <v/>
      </c>
      <c r="G16" s="38"/>
      <c r="H16" s="38"/>
      <c r="I16" s="38"/>
      <c r="J16" s="36"/>
      <c r="K16" s="29"/>
      <c r="L16" s="29"/>
      <c r="M16" s="31"/>
      <c r="N16" s="39">
        <f t="shared" si="2"/>
        <v>0</v>
      </c>
      <c r="P16" s="4" t="str">
        <f t="shared" si="3"/>
        <v/>
      </c>
      <c r="Q16" s="4" t="str">
        <f t="shared" si="4"/>
        <v/>
      </c>
      <c r="R16" s="4" t="str">
        <f t="shared" si="5"/>
        <v>/</v>
      </c>
      <c r="S16" s="4" t="str">
        <f t="shared" si="6"/>
        <v/>
      </c>
    </row>
    <row r="17" spans="1:19" x14ac:dyDescent="0.35">
      <c r="A17" s="54"/>
      <c r="B17" s="57"/>
      <c r="C17" s="60"/>
      <c r="D17" s="7" t="str">
        <f t="shared" si="0"/>
        <v/>
      </c>
      <c r="E17" s="63" t="str">
        <f>IF(OR(C17="",A17=""),"",IF(A17&lt;'Page de garde'!$G$7,IF(VALUE(RIGHT(C17,2))&lt;50,76,96),INDEX(EC!$C$2:$C$677,MATCH(C17,EC,0))))</f>
        <v/>
      </c>
      <c r="F17" s="33" t="str">
        <f t="shared" si="1"/>
        <v/>
      </c>
      <c r="G17" s="38"/>
      <c r="H17" s="38"/>
      <c r="I17" s="38"/>
      <c r="J17" s="36"/>
      <c r="K17" s="29"/>
      <c r="L17" s="29"/>
      <c r="M17" s="31"/>
      <c r="N17" s="39">
        <f t="shared" si="2"/>
        <v>0</v>
      </c>
      <c r="P17" s="4" t="str">
        <f t="shared" si="3"/>
        <v/>
      </c>
      <c r="Q17" s="4" t="str">
        <f t="shared" si="4"/>
        <v/>
      </c>
      <c r="R17" s="4" t="str">
        <f t="shared" si="5"/>
        <v>/</v>
      </c>
      <c r="S17" s="4" t="str">
        <f t="shared" si="6"/>
        <v/>
      </c>
    </row>
    <row r="18" spans="1:19" x14ac:dyDescent="0.35">
      <c r="A18" s="54"/>
      <c r="B18" s="57"/>
      <c r="C18" s="60"/>
      <c r="D18" s="7" t="str">
        <f t="shared" si="0"/>
        <v/>
      </c>
      <c r="E18" s="63" t="str">
        <f>IF(OR(C18="",A18=""),"",IF(A18&lt;'Page de garde'!$G$7,IF(VALUE(RIGHT(C18,2))&lt;50,76,96),INDEX(EC!$C$2:$C$677,MATCH(C18,EC,0))))</f>
        <v/>
      </c>
      <c r="F18" s="33" t="str">
        <f t="shared" si="1"/>
        <v/>
      </c>
      <c r="G18" s="38"/>
      <c r="H18" s="38"/>
      <c r="I18" s="38"/>
      <c r="J18" s="36"/>
      <c r="K18" s="29"/>
      <c r="L18" s="29"/>
      <c r="M18" s="31"/>
      <c r="N18" s="39">
        <f t="shared" si="2"/>
        <v>0</v>
      </c>
      <c r="P18" s="4" t="str">
        <f t="shared" si="3"/>
        <v/>
      </c>
      <c r="Q18" s="4" t="str">
        <f t="shared" si="4"/>
        <v/>
      </c>
      <c r="R18" s="4" t="str">
        <f t="shared" si="5"/>
        <v>/</v>
      </c>
      <c r="S18" s="4" t="str">
        <f t="shared" si="6"/>
        <v/>
      </c>
    </row>
    <row r="19" spans="1:19" x14ac:dyDescent="0.35">
      <c r="A19" s="54"/>
      <c r="B19" s="57"/>
      <c r="C19" s="60"/>
      <c r="D19" s="7" t="str">
        <f t="shared" si="0"/>
        <v/>
      </c>
      <c r="E19" s="63" t="str">
        <f>IF(OR(C19="",A19=""),"",IF(A19&lt;'Page de garde'!$G$7,IF(VALUE(RIGHT(C19,2))&lt;50,76,96),INDEX(EC!$C$2:$C$677,MATCH(C19,EC,0))))</f>
        <v/>
      </c>
      <c r="F19" s="33" t="str">
        <f t="shared" si="1"/>
        <v/>
      </c>
      <c r="G19" s="38"/>
      <c r="H19" s="38"/>
      <c r="I19" s="38"/>
      <c r="J19" s="36"/>
      <c r="K19" s="29"/>
      <c r="L19" s="29"/>
      <c r="M19" s="31"/>
      <c r="N19" s="39">
        <f t="shared" si="2"/>
        <v>0</v>
      </c>
      <c r="P19" s="4" t="str">
        <f t="shared" si="3"/>
        <v/>
      </c>
      <c r="Q19" s="4" t="str">
        <f t="shared" si="4"/>
        <v/>
      </c>
      <c r="R19" s="4" t="str">
        <f t="shared" si="5"/>
        <v>/</v>
      </c>
      <c r="S19" s="4" t="str">
        <f t="shared" si="6"/>
        <v/>
      </c>
    </row>
    <row r="20" spans="1:19" x14ac:dyDescent="0.35">
      <c r="A20" s="54"/>
      <c r="B20" s="57"/>
      <c r="C20" s="60"/>
      <c r="D20" s="7" t="str">
        <f t="shared" si="0"/>
        <v/>
      </c>
      <c r="E20" s="63" t="str">
        <f>IF(OR(C20="",A20=""),"",IF(A20&lt;'Page de garde'!$G$7,IF(VALUE(RIGHT(C20,2))&lt;50,76,96),INDEX(EC!$C$2:$C$677,MATCH(C20,EC,0))))</f>
        <v/>
      </c>
      <c r="F20" s="33" t="str">
        <f t="shared" si="1"/>
        <v/>
      </c>
      <c r="G20" s="38"/>
      <c r="H20" s="38"/>
      <c r="I20" s="38"/>
      <c r="J20" s="36"/>
      <c r="K20" s="29"/>
      <c r="L20" s="29"/>
      <c r="M20" s="31"/>
      <c r="N20" s="39">
        <f t="shared" si="2"/>
        <v>0</v>
      </c>
      <c r="P20" s="4" t="str">
        <f t="shared" si="3"/>
        <v/>
      </c>
      <c r="Q20" s="4" t="str">
        <f t="shared" si="4"/>
        <v/>
      </c>
      <c r="R20" s="4" t="str">
        <f t="shared" si="5"/>
        <v>/</v>
      </c>
      <c r="S20" s="4" t="str">
        <f t="shared" si="6"/>
        <v/>
      </c>
    </row>
    <row r="21" spans="1:19" x14ac:dyDescent="0.35">
      <c r="A21" s="54"/>
      <c r="B21" s="57"/>
      <c r="C21" s="60"/>
      <c r="D21" s="7" t="str">
        <f t="shared" si="0"/>
        <v/>
      </c>
      <c r="E21" s="63" t="str">
        <f>IF(OR(C21="",A21=""),"",IF(A21&lt;'Page de garde'!$G$7,IF(VALUE(RIGHT(C21,2))&lt;50,76,96),INDEX(EC!$C$2:$C$677,MATCH(C21,EC,0))))</f>
        <v/>
      </c>
      <c r="F21" s="33" t="str">
        <f t="shared" si="1"/>
        <v/>
      </c>
      <c r="G21" s="38"/>
      <c r="H21" s="38"/>
      <c r="I21" s="38"/>
      <c r="J21" s="36"/>
      <c r="K21" s="29"/>
      <c r="L21" s="29"/>
      <c r="M21" s="31"/>
      <c r="N21" s="39">
        <f t="shared" si="2"/>
        <v>0</v>
      </c>
      <c r="P21" s="4" t="str">
        <f t="shared" si="3"/>
        <v/>
      </c>
      <c r="Q21" s="4" t="str">
        <f t="shared" si="4"/>
        <v/>
      </c>
      <c r="R21" s="4" t="str">
        <f t="shared" si="5"/>
        <v>/</v>
      </c>
      <c r="S21" s="4" t="str">
        <f t="shared" si="6"/>
        <v/>
      </c>
    </row>
    <row r="22" spans="1:19" x14ac:dyDescent="0.35">
      <c r="A22" s="54"/>
      <c r="B22" s="57"/>
      <c r="C22" s="60"/>
      <c r="D22" s="7" t="str">
        <f t="shared" si="0"/>
        <v/>
      </c>
      <c r="E22" s="63" t="str">
        <f>IF(OR(C22="",A22=""),"",IF(A22&lt;'Page de garde'!$G$7,IF(VALUE(RIGHT(C22,2))&lt;50,76,96),INDEX(EC!$C$2:$C$677,MATCH(C22,EC,0))))</f>
        <v/>
      </c>
      <c r="F22" s="33" t="str">
        <f t="shared" si="1"/>
        <v/>
      </c>
      <c r="G22" s="38"/>
      <c r="H22" s="38"/>
      <c r="I22" s="38"/>
      <c r="J22" s="36"/>
      <c r="K22" s="29"/>
      <c r="L22" s="29"/>
      <c r="M22" s="31"/>
      <c r="N22" s="39">
        <f t="shared" si="2"/>
        <v>0</v>
      </c>
      <c r="P22" s="4" t="str">
        <f t="shared" si="3"/>
        <v/>
      </c>
      <c r="Q22" s="4" t="str">
        <f t="shared" si="4"/>
        <v/>
      </c>
      <c r="R22" s="4" t="str">
        <f t="shared" si="5"/>
        <v>/</v>
      </c>
      <c r="S22" s="4" t="str">
        <f t="shared" si="6"/>
        <v/>
      </c>
    </row>
    <row r="23" spans="1:19" x14ac:dyDescent="0.35">
      <c r="A23" s="54"/>
      <c r="B23" s="57"/>
      <c r="C23" s="60"/>
      <c r="D23" s="7" t="str">
        <f t="shared" si="0"/>
        <v/>
      </c>
      <c r="E23" s="63" t="str">
        <f>IF(OR(C23="",A23=""),"",IF(A23&lt;'Page de garde'!$G$7,IF(VALUE(RIGHT(C23,2))&lt;50,76,96),INDEX(EC!$C$2:$C$677,MATCH(C23,EC,0))))</f>
        <v/>
      </c>
      <c r="F23" s="33" t="str">
        <f t="shared" si="1"/>
        <v/>
      </c>
      <c r="G23" s="38"/>
      <c r="H23" s="38"/>
      <c r="I23" s="38"/>
      <c r="J23" s="36"/>
      <c r="K23" s="29"/>
      <c r="L23" s="29"/>
      <c r="M23" s="31"/>
      <c r="N23" s="39">
        <f t="shared" si="2"/>
        <v>0</v>
      </c>
      <c r="P23" s="4" t="str">
        <f t="shared" si="3"/>
        <v/>
      </c>
      <c r="Q23" s="4" t="str">
        <f t="shared" si="4"/>
        <v/>
      </c>
      <c r="R23" s="4" t="str">
        <f t="shared" si="5"/>
        <v>/</v>
      </c>
      <c r="S23" s="4" t="str">
        <f t="shared" si="6"/>
        <v/>
      </c>
    </row>
    <row r="24" spans="1:19" x14ac:dyDescent="0.35">
      <c r="A24" s="54"/>
      <c r="B24" s="57"/>
      <c r="C24" s="60"/>
      <c r="D24" s="7" t="str">
        <f t="shared" si="0"/>
        <v/>
      </c>
      <c r="E24" s="63" t="str">
        <f>IF(OR(C24="",A24=""),"",IF(A24&lt;'Page de garde'!$G$7,IF(VALUE(RIGHT(C24,2))&lt;50,76,96),INDEX(EC!$C$2:$C$677,MATCH(C24,EC,0))))</f>
        <v/>
      </c>
      <c r="F24" s="33" t="str">
        <f t="shared" si="1"/>
        <v/>
      </c>
      <c r="G24" s="38"/>
      <c r="H24" s="38"/>
      <c r="I24" s="38"/>
      <c r="J24" s="36"/>
      <c r="K24" s="29"/>
      <c r="L24" s="29"/>
      <c r="M24" s="31"/>
      <c r="N24" s="39">
        <f t="shared" si="2"/>
        <v>0</v>
      </c>
      <c r="P24" s="4" t="str">
        <f t="shared" si="3"/>
        <v/>
      </c>
      <c r="Q24" s="4" t="str">
        <f t="shared" si="4"/>
        <v/>
      </c>
      <c r="R24" s="4" t="str">
        <f t="shared" si="5"/>
        <v>/</v>
      </c>
      <c r="S24" s="4" t="str">
        <f t="shared" si="6"/>
        <v/>
      </c>
    </row>
    <row r="25" spans="1:19" x14ac:dyDescent="0.35">
      <c r="A25" s="54"/>
      <c r="B25" s="57"/>
      <c r="C25" s="60"/>
      <c r="D25" s="7" t="str">
        <f t="shared" si="0"/>
        <v/>
      </c>
      <c r="E25" s="63" t="str">
        <f>IF(OR(C25="",A25=""),"",IF(A25&lt;'Page de garde'!$G$7,IF(VALUE(RIGHT(C25,2))&lt;50,76,96),INDEX(EC!$C$2:$C$677,MATCH(C25,EC,0))))</f>
        <v/>
      </c>
      <c r="F25" s="33" t="str">
        <f t="shared" si="1"/>
        <v/>
      </c>
      <c r="G25" s="38"/>
      <c r="H25" s="38"/>
      <c r="I25" s="38"/>
      <c r="J25" s="36"/>
      <c r="K25" s="29"/>
      <c r="L25" s="29"/>
      <c r="M25" s="31"/>
      <c r="N25" s="39">
        <f t="shared" si="2"/>
        <v>0</v>
      </c>
      <c r="P25" s="4" t="str">
        <f t="shared" si="3"/>
        <v/>
      </c>
      <c r="Q25" s="4" t="str">
        <f t="shared" si="4"/>
        <v/>
      </c>
      <c r="R25" s="4" t="str">
        <f t="shared" si="5"/>
        <v>/</v>
      </c>
      <c r="S25" s="4" t="str">
        <f t="shared" si="6"/>
        <v/>
      </c>
    </row>
    <row r="26" spans="1:19" x14ac:dyDescent="0.35">
      <c r="A26" s="54"/>
      <c r="B26" s="57"/>
      <c r="C26" s="60"/>
      <c r="D26" s="7" t="str">
        <f t="shared" si="0"/>
        <v/>
      </c>
      <c r="E26" s="63" t="str">
        <f>IF(OR(C26="",A26=""),"",IF(A26&lt;'Page de garde'!$G$7,IF(VALUE(RIGHT(C26,2))&lt;50,76,96),INDEX(EC!$C$2:$C$677,MATCH(C26,EC,0))))</f>
        <v/>
      </c>
      <c r="F26" s="33" t="str">
        <f t="shared" si="1"/>
        <v/>
      </c>
      <c r="G26" s="38"/>
      <c r="H26" s="38"/>
      <c r="I26" s="38"/>
      <c r="J26" s="36"/>
      <c r="K26" s="29"/>
      <c r="L26" s="29"/>
      <c r="M26" s="31"/>
      <c r="N26" s="39">
        <f t="shared" si="2"/>
        <v>0</v>
      </c>
      <c r="P26" s="4" t="str">
        <f t="shared" si="3"/>
        <v/>
      </c>
      <c r="Q26" s="4" t="str">
        <f t="shared" si="4"/>
        <v/>
      </c>
      <c r="R26" s="4" t="str">
        <f t="shared" si="5"/>
        <v>/</v>
      </c>
      <c r="S26" s="4" t="str">
        <f t="shared" si="6"/>
        <v/>
      </c>
    </row>
    <row r="27" spans="1:19" x14ac:dyDescent="0.35">
      <c r="A27" s="54"/>
      <c r="B27" s="57"/>
      <c r="C27" s="60"/>
      <c r="D27" s="7" t="str">
        <f t="shared" si="0"/>
        <v/>
      </c>
      <c r="E27" s="63" t="str">
        <f>IF(OR(C27="",A27=""),"",IF(A27&lt;'Page de garde'!$G$7,IF(VALUE(RIGHT(C27,2))&lt;50,76,96),INDEX(EC!$C$2:$C$677,MATCH(C27,EC,0))))</f>
        <v/>
      </c>
      <c r="F27" s="33" t="str">
        <f t="shared" si="1"/>
        <v/>
      </c>
      <c r="G27" s="38"/>
      <c r="H27" s="38"/>
      <c r="I27" s="38"/>
      <c r="J27" s="36"/>
      <c r="K27" s="29"/>
      <c r="L27" s="29"/>
      <c r="M27" s="31"/>
      <c r="N27" s="39">
        <f t="shared" si="2"/>
        <v>0</v>
      </c>
      <c r="P27" s="4" t="str">
        <f t="shared" si="3"/>
        <v/>
      </c>
      <c r="Q27" s="4" t="str">
        <f t="shared" si="4"/>
        <v/>
      </c>
      <c r="R27" s="4" t="str">
        <f t="shared" si="5"/>
        <v>/</v>
      </c>
      <c r="S27" s="4" t="str">
        <f t="shared" si="6"/>
        <v/>
      </c>
    </row>
    <row r="28" spans="1:19" x14ac:dyDescent="0.35">
      <c r="A28" s="54"/>
      <c r="B28" s="57"/>
      <c r="C28" s="60"/>
      <c r="D28" s="7" t="str">
        <f t="shared" si="0"/>
        <v/>
      </c>
      <c r="E28" s="63" t="str">
        <f>IF(OR(C28="",A28=""),"",IF(A28&lt;'Page de garde'!$G$7,IF(VALUE(RIGHT(C28,2))&lt;50,76,96),INDEX(EC!$C$2:$C$677,MATCH(C28,EC,0))))</f>
        <v/>
      </c>
      <c r="F28" s="33" t="str">
        <f t="shared" si="1"/>
        <v/>
      </c>
      <c r="G28" s="38"/>
      <c r="H28" s="38"/>
      <c r="I28" s="38"/>
      <c r="J28" s="36"/>
      <c r="K28" s="29"/>
      <c r="L28" s="29"/>
      <c r="M28" s="31"/>
      <c r="N28" s="39">
        <f t="shared" si="2"/>
        <v>0</v>
      </c>
      <c r="P28" s="4" t="str">
        <f t="shared" si="3"/>
        <v/>
      </c>
      <c r="Q28" s="4" t="str">
        <f t="shared" si="4"/>
        <v/>
      </c>
      <c r="R28" s="4" t="str">
        <f t="shared" si="5"/>
        <v>/</v>
      </c>
      <c r="S28" s="4" t="str">
        <f t="shared" si="6"/>
        <v/>
      </c>
    </row>
    <row r="29" spans="1:19" x14ac:dyDescent="0.35">
      <c r="A29" s="54"/>
      <c r="B29" s="57"/>
      <c r="C29" s="60"/>
      <c r="D29" s="7" t="str">
        <f t="shared" si="0"/>
        <v/>
      </c>
      <c r="E29" s="63" t="str">
        <f>IF(OR(C29="",A29=""),"",IF(A29&lt;'Page de garde'!$G$7,IF(VALUE(RIGHT(C29,2))&lt;50,76,96),INDEX(EC!$C$2:$C$677,MATCH(C29,EC,0))))</f>
        <v/>
      </c>
      <c r="F29" s="33" t="str">
        <f t="shared" si="1"/>
        <v/>
      </c>
      <c r="G29" s="38"/>
      <c r="H29" s="38"/>
      <c r="I29" s="38"/>
      <c r="J29" s="36"/>
      <c r="K29" s="29"/>
      <c r="L29" s="29"/>
      <c r="M29" s="31"/>
      <c r="N29" s="39">
        <f t="shared" si="2"/>
        <v>0</v>
      </c>
      <c r="P29" s="4" t="str">
        <f t="shared" si="3"/>
        <v/>
      </c>
      <c r="Q29" s="4" t="str">
        <f t="shared" si="4"/>
        <v/>
      </c>
      <c r="R29" s="4" t="str">
        <f t="shared" si="5"/>
        <v>/</v>
      </c>
      <c r="S29" s="4" t="str">
        <f t="shared" si="6"/>
        <v/>
      </c>
    </row>
    <row r="30" spans="1:19" x14ac:dyDescent="0.35">
      <c r="A30" s="54"/>
      <c r="B30" s="57"/>
      <c r="C30" s="60"/>
      <c r="D30" s="7" t="str">
        <f t="shared" si="0"/>
        <v/>
      </c>
      <c r="E30" s="63" t="str">
        <f>IF(OR(C30="",A30=""),"",IF(A30&lt;'Page de garde'!$G$7,IF(VALUE(RIGHT(C30,2))&lt;50,76,96),INDEX(EC!$C$2:$C$677,MATCH(C30,EC,0))))</f>
        <v/>
      </c>
      <c r="F30" s="33" t="str">
        <f t="shared" si="1"/>
        <v/>
      </c>
      <c r="G30" s="38"/>
      <c r="H30" s="38"/>
      <c r="I30" s="38"/>
      <c r="J30" s="36"/>
      <c r="K30" s="29"/>
      <c r="L30" s="29"/>
      <c r="M30" s="31"/>
      <c r="N30" s="39">
        <f t="shared" si="2"/>
        <v>0</v>
      </c>
      <c r="P30" s="4" t="str">
        <f t="shared" si="3"/>
        <v/>
      </c>
      <c r="Q30" s="4" t="str">
        <f t="shared" si="4"/>
        <v/>
      </c>
      <c r="R30" s="4" t="str">
        <f t="shared" si="5"/>
        <v>/</v>
      </c>
      <c r="S30" s="4" t="str">
        <f t="shared" si="6"/>
        <v/>
      </c>
    </row>
    <row r="31" spans="1:19" x14ac:dyDescent="0.35">
      <c r="A31" s="54"/>
      <c r="B31" s="57"/>
      <c r="C31" s="60"/>
      <c r="D31" s="7" t="str">
        <f t="shared" si="0"/>
        <v/>
      </c>
      <c r="E31" s="63" t="str">
        <f>IF(OR(C31="",A31=""),"",IF(A31&lt;'Page de garde'!$G$7,IF(VALUE(RIGHT(C31,2))&lt;50,76,96),INDEX(EC!$C$2:$C$677,MATCH(C31,EC,0))))</f>
        <v/>
      </c>
      <c r="F31" s="33" t="str">
        <f t="shared" si="1"/>
        <v/>
      </c>
      <c r="G31" s="38"/>
      <c r="H31" s="38"/>
      <c r="I31" s="38"/>
      <c r="J31" s="36"/>
      <c r="K31" s="29"/>
      <c r="L31" s="29"/>
      <c r="M31" s="31"/>
      <c r="N31" s="39">
        <f t="shared" si="2"/>
        <v>0</v>
      </c>
      <c r="P31" s="4" t="str">
        <f t="shared" si="3"/>
        <v/>
      </c>
      <c r="Q31" s="4" t="str">
        <f t="shared" si="4"/>
        <v/>
      </c>
      <c r="R31" s="4" t="str">
        <f t="shared" si="5"/>
        <v>/</v>
      </c>
      <c r="S31" s="4" t="str">
        <f t="shared" si="6"/>
        <v/>
      </c>
    </row>
    <row r="32" spans="1:19" x14ac:dyDescent="0.35">
      <c r="A32" s="54"/>
      <c r="B32" s="57"/>
      <c r="C32" s="60"/>
      <c r="D32" s="7" t="str">
        <f t="shared" si="0"/>
        <v/>
      </c>
      <c r="E32" s="63" t="str">
        <f>IF(OR(C32="",A32=""),"",IF(A32&lt;'Page de garde'!$G$7,IF(VALUE(RIGHT(C32,2))&lt;50,76,96),INDEX(EC!$C$2:$C$677,MATCH(C32,EC,0))))</f>
        <v/>
      </c>
      <c r="F32" s="33" t="str">
        <f t="shared" si="1"/>
        <v/>
      </c>
      <c r="G32" s="38"/>
      <c r="H32" s="38"/>
      <c r="I32" s="38"/>
      <c r="J32" s="36"/>
      <c r="K32" s="29"/>
      <c r="L32" s="29"/>
      <c r="M32" s="31"/>
      <c r="N32" s="39">
        <f t="shared" si="2"/>
        <v>0</v>
      </c>
      <c r="P32" s="4" t="str">
        <f t="shared" si="3"/>
        <v/>
      </c>
      <c r="Q32" s="4" t="str">
        <f t="shared" si="4"/>
        <v/>
      </c>
      <c r="R32" s="4" t="str">
        <f t="shared" si="5"/>
        <v>/</v>
      </c>
      <c r="S32" s="4" t="str">
        <f t="shared" si="6"/>
        <v/>
      </c>
    </row>
    <row r="33" spans="1:19" x14ac:dyDescent="0.35">
      <c r="A33" s="54"/>
      <c r="B33" s="57"/>
      <c r="C33" s="60"/>
      <c r="D33" s="7" t="str">
        <f t="shared" si="0"/>
        <v/>
      </c>
      <c r="E33" s="63" t="str">
        <f>IF(OR(C33="",A33=""),"",IF(A33&lt;'Page de garde'!$G$7,IF(VALUE(RIGHT(C33,2))&lt;50,76,96),INDEX(EC!$C$2:$C$677,MATCH(C33,EC,0))))</f>
        <v/>
      </c>
      <c r="F33" s="33" t="str">
        <f t="shared" si="1"/>
        <v/>
      </c>
      <c r="G33" s="38"/>
      <c r="H33" s="38"/>
      <c r="I33" s="38"/>
      <c r="J33" s="36"/>
      <c r="K33" s="29"/>
      <c r="L33" s="29"/>
      <c r="M33" s="31"/>
      <c r="N33" s="39">
        <f t="shared" si="2"/>
        <v>0</v>
      </c>
      <c r="P33" s="4" t="str">
        <f t="shared" si="3"/>
        <v/>
      </c>
      <c r="Q33" s="4" t="str">
        <f t="shared" si="4"/>
        <v/>
      </c>
      <c r="R33" s="4" t="str">
        <f t="shared" si="5"/>
        <v>/</v>
      </c>
      <c r="S33" s="4" t="str">
        <f t="shared" si="6"/>
        <v/>
      </c>
    </row>
    <row r="34" spans="1:19" x14ac:dyDescent="0.35">
      <c r="A34" s="54"/>
      <c r="B34" s="57"/>
      <c r="C34" s="60"/>
      <c r="D34" s="7" t="str">
        <f t="shared" si="0"/>
        <v/>
      </c>
      <c r="E34" s="63" t="str">
        <f>IF(OR(C34="",A34=""),"",IF(A34&lt;'Page de garde'!$G$7,IF(VALUE(RIGHT(C34,2))&lt;50,76,96),INDEX(EC!$C$2:$C$677,MATCH(C34,EC,0))))</f>
        <v/>
      </c>
      <c r="F34" s="33" t="str">
        <f t="shared" si="1"/>
        <v/>
      </c>
      <c r="G34" s="38"/>
      <c r="H34" s="38"/>
      <c r="I34" s="38"/>
      <c r="J34" s="36"/>
      <c r="K34" s="29"/>
      <c r="L34" s="29"/>
      <c r="M34" s="31"/>
      <c r="N34" s="39">
        <f t="shared" si="2"/>
        <v>0</v>
      </c>
      <c r="P34" s="4" t="str">
        <f t="shared" si="3"/>
        <v/>
      </c>
      <c r="Q34" s="4" t="str">
        <f t="shared" si="4"/>
        <v/>
      </c>
      <c r="R34" s="4" t="str">
        <f t="shared" si="5"/>
        <v>/</v>
      </c>
      <c r="S34" s="4" t="str">
        <f t="shared" si="6"/>
        <v/>
      </c>
    </row>
    <row r="35" spans="1:19" x14ac:dyDescent="0.35">
      <c r="A35" s="54"/>
      <c r="B35" s="57"/>
      <c r="C35" s="60"/>
      <c r="D35" s="7" t="str">
        <f t="shared" si="0"/>
        <v/>
      </c>
      <c r="E35" s="63" t="str">
        <f>IF(OR(C35="",A35=""),"",IF(A35&lt;'Page de garde'!$G$7,IF(VALUE(RIGHT(C35,2))&lt;50,76,96),INDEX(EC!$C$2:$C$677,MATCH(C35,EC,0))))</f>
        <v/>
      </c>
      <c r="F35" s="33" t="str">
        <f t="shared" si="1"/>
        <v/>
      </c>
      <c r="G35" s="38"/>
      <c r="H35" s="38"/>
      <c r="I35" s="38"/>
      <c r="J35" s="36"/>
      <c r="K35" s="29"/>
      <c r="L35" s="29"/>
      <c r="M35" s="31"/>
      <c r="N35" s="39">
        <f t="shared" si="2"/>
        <v>0</v>
      </c>
      <c r="P35" s="4" t="str">
        <f t="shared" si="3"/>
        <v/>
      </c>
      <c r="Q35" s="4" t="str">
        <f t="shared" si="4"/>
        <v/>
      </c>
      <c r="R35" s="4" t="str">
        <f t="shared" si="5"/>
        <v>/</v>
      </c>
      <c r="S35" s="4" t="str">
        <f t="shared" si="6"/>
        <v/>
      </c>
    </row>
    <row r="36" spans="1:19" x14ac:dyDescent="0.35">
      <c r="A36" s="54"/>
      <c r="B36" s="57"/>
      <c r="C36" s="60"/>
      <c r="D36" s="7" t="str">
        <f t="shared" si="0"/>
        <v/>
      </c>
      <c r="E36" s="63" t="str">
        <f>IF(OR(C36="",A36=""),"",IF(A36&lt;'Page de garde'!$G$7,IF(VALUE(RIGHT(C36,2))&lt;50,76,96),INDEX(EC!$C$2:$C$677,MATCH(C36,EC,0))))</f>
        <v/>
      </c>
      <c r="F36" s="33" t="str">
        <f t="shared" si="1"/>
        <v/>
      </c>
      <c r="G36" s="38"/>
      <c r="H36" s="38"/>
      <c r="I36" s="38"/>
      <c r="J36" s="36"/>
      <c r="K36" s="29"/>
      <c r="L36" s="29"/>
      <c r="M36" s="31"/>
      <c r="N36" s="39">
        <f t="shared" si="2"/>
        <v>0</v>
      </c>
      <c r="P36" s="4" t="str">
        <f t="shared" si="3"/>
        <v/>
      </c>
      <c r="Q36" s="4" t="str">
        <f t="shared" si="4"/>
        <v/>
      </c>
      <c r="R36" s="4" t="str">
        <f t="shared" si="5"/>
        <v>/</v>
      </c>
      <c r="S36" s="4" t="str">
        <f t="shared" si="6"/>
        <v/>
      </c>
    </row>
    <row r="37" spans="1:19" x14ac:dyDescent="0.35">
      <c r="A37" s="54"/>
      <c r="B37" s="57"/>
      <c r="C37" s="60"/>
      <c r="D37" s="7" t="str">
        <f t="shared" si="0"/>
        <v/>
      </c>
      <c r="E37" s="63" t="str">
        <f>IF(OR(C37="",A37=""),"",IF(A37&lt;'Page de garde'!$G$7,IF(VALUE(RIGHT(C37,2))&lt;50,76,96),INDEX(EC!$C$2:$C$677,MATCH(C37,EC,0))))</f>
        <v/>
      </c>
      <c r="F37" s="33" t="str">
        <f t="shared" si="1"/>
        <v/>
      </c>
      <c r="G37" s="38"/>
      <c r="H37" s="38"/>
      <c r="I37" s="38"/>
      <c r="J37" s="36"/>
      <c r="K37" s="29"/>
      <c r="L37" s="29"/>
      <c r="M37" s="31"/>
      <c r="N37" s="39">
        <f t="shared" si="2"/>
        <v>0</v>
      </c>
      <c r="P37" s="4" t="str">
        <f t="shared" si="3"/>
        <v/>
      </c>
      <c r="Q37" s="4" t="str">
        <f t="shared" si="4"/>
        <v/>
      </c>
      <c r="R37" s="4" t="str">
        <f t="shared" si="5"/>
        <v>/</v>
      </c>
      <c r="S37" s="4" t="str">
        <f t="shared" si="6"/>
        <v/>
      </c>
    </row>
    <row r="38" spans="1:19" x14ac:dyDescent="0.35">
      <c r="A38" s="54"/>
      <c r="B38" s="57"/>
      <c r="C38" s="60"/>
      <c r="D38" s="7" t="str">
        <f t="shared" si="0"/>
        <v/>
      </c>
      <c r="E38" s="63" t="str">
        <f>IF(OR(C38="",A38=""),"",IF(A38&lt;'Page de garde'!$G$7,IF(VALUE(RIGHT(C38,2))&lt;50,76,96),INDEX(EC!$C$2:$C$677,MATCH(C38,EC,0))))</f>
        <v/>
      </c>
      <c r="F38" s="33" t="str">
        <f t="shared" si="1"/>
        <v/>
      </c>
      <c r="G38" s="38"/>
      <c r="H38" s="38"/>
      <c r="I38" s="38"/>
      <c r="J38" s="36"/>
      <c r="K38" s="29"/>
      <c r="L38" s="29"/>
      <c r="M38" s="31"/>
      <c r="N38" s="39">
        <f t="shared" si="2"/>
        <v>0</v>
      </c>
      <c r="P38" s="4" t="str">
        <f t="shared" si="3"/>
        <v/>
      </c>
      <c r="Q38" s="4" t="str">
        <f t="shared" si="4"/>
        <v/>
      </c>
      <c r="R38" s="4" t="str">
        <f t="shared" si="5"/>
        <v>/</v>
      </c>
      <c r="S38" s="4" t="str">
        <f t="shared" si="6"/>
        <v/>
      </c>
    </row>
    <row r="39" spans="1:19" x14ac:dyDescent="0.35">
      <c r="A39" s="54"/>
      <c r="B39" s="57"/>
      <c r="C39" s="60"/>
      <c r="D39" s="7" t="str">
        <f t="shared" si="0"/>
        <v/>
      </c>
      <c r="E39" s="63" t="str">
        <f>IF(OR(C39="",A39=""),"",IF(A39&lt;'Page de garde'!$G$7,IF(VALUE(RIGHT(C39,2))&lt;50,76,96),INDEX(EC!$C$2:$C$677,MATCH(C39,EC,0))))</f>
        <v/>
      </c>
      <c r="F39" s="33" t="str">
        <f t="shared" si="1"/>
        <v/>
      </c>
      <c r="G39" s="38"/>
      <c r="H39" s="38"/>
      <c r="I39" s="38"/>
      <c r="J39" s="36"/>
      <c r="K39" s="29"/>
      <c r="L39" s="29"/>
      <c r="M39" s="31"/>
      <c r="N39" s="39">
        <f t="shared" si="2"/>
        <v>0</v>
      </c>
      <c r="P39" s="4" t="str">
        <f t="shared" si="3"/>
        <v/>
      </c>
      <c r="Q39" s="4" t="str">
        <f t="shared" si="4"/>
        <v/>
      </c>
      <c r="R39" s="4" t="str">
        <f t="shared" si="5"/>
        <v>/</v>
      </c>
      <c r="S39" s="4" t="str">
        <f t="shared" si="6"/>
        <v/>
      </c>
    </row>
    <row r="40" spans="1:19" x14ac:dyDescent="0.35">
      <c r="A40" s="54"/>
      <c r="B40" s="57"/>
      <c r="C40" s="60"/>
      <c r="D40" s="7" t="str">
        <f t="shared" si="0"/>
        <v/>
      </c>
      <c r="E40" s="63" t="str">
        <f>IF(OR(C40="",A40=""),"",IF(A40&lt;'Page de garde'!$G$7,IF(VALUE(RIGHT(C40,2))&lt;50,76,96),INDEX(EC!$C$2:$C$677,MATCH(C40,EC,0))))</f>
        <v/>
      </c>
      <c r="F40" s="33" t="str">
        <f t="shared" si="1"/>
        <v/>
      </c>
      <c r="G40" s="38"/>
      <c r="H40" s="38"/>
      <c r="I40" s="38"/>
      <c r="J40" s="36"/>
      <c r="K40" s="29"/>
      <c r="L40" s="29"/>
      <c r="M40" s="31"/>
      <c r="N40" s="39">
        <f t="shared" si="2"/>
        <v>0</v>
      </c>
      <c r="P40" s="4" t="str">
        <f t="shared" si="3"/>
        <v/>
      </c>
      <c r="Q40" s="4" t="str">
        <f t="shared" si="4"/>
        <v/>
      </c>
      <c r="R40" s="4" t="str">
        <f t="shared" si="5"/>
        <v>/</v>
      </c>
      <c r="S40" s="4" t="str">
        <f t="shared" si="6"/>
        <v/>
      </c>
    </row>
    <row r="41" spans="1:19" x14ac:dyDescent="0.35">
      <c r="A41" s="54"/>
      <c r="B41" s="57"/>
      <c r="C41" s="60"/>
      <c r="D41" s="7" t="str">
        <f t="shared" si="0"/>
        <v/>
      </c>
      <c r="E41" s="63" t="str">
        <f>IF(OR(C41="",A41=""),"",IF(A41&lt;'Page de garde'!$G$7,IF(VALUE(RIGHT(C41,2))&lt;50,76,96),INDEX(EC!$C$2:$C$677,MATCH(C41,EC,0))))</f>
        <v/>
      </c>
      <c r="F41" s="33" t="str">
        <f t="shared" si="1"/>
        <v/>
      </c>
      <c r="G41" s="38"/>
      <c r="H41" s="38"/>
      <c r="I41" s="38"/>
      <c r="J41" s="36"/>
      <c r="K41" s="29"/>
      <c r="L41" s="29"/>
      <c r="M41" s="31"/>
      <c r="N41" s="39">
        <f t="shared" si="2"/>
        <v>0</v>
      </c>
      <c r="P41" s="4" t="str">
        <f t="shared" si="3"/>
        <v/>
      </c>
      <c r="Q41" s="4" t="str">
        <f t="shared" si="4"/>
        <v/>
      </c>
      <c r="R41" s="4" t="str">
        <f t="shared" si="5"/>
        <v>/</v>
      </c>
      <c r="S41" s="4" t="str">
        <f t="shared" si="6"/>
        <v/>
      </c>
    </row>
    <row r="42" spans="1:19" x14ac:dyDescent="0.35">
      <c r="A42" s="54"/>
      <c r="B42" s="57"/>
      <c r="C42" s="60"/>
      <c r="D42" s="7" t="str">
        <f t="shared" si="0"/>
        <v/>
      </c>
      <c r="E42" s="63" t="str">
        <f>IF(OR(C42="",A42=""),"",IF(A42&lt;'Page de garde'!$G$7,IF(VALUE(RIGHT(C42,2))&lt;50,76,96),INDEX(EC!$C$2:$C$677,MATCH(C42,EC,0))))</f>
        <v/>
      </c>
      <c r="F42" s="33" t="str">
        <f t="shared" si="1"/>
        <v/>
      </c>
      <c r="G42" s="38"/>
      <c r="H42" s="38"/>
      <c r="I42" s="38"/>
      <c r="J42" s="36"/>
      <c r="K42" s="29"/>
      <c r="L42" s="29"/>
      <c r="M42" s="31"/>
      <c r="N42" s="39">
        <f t="shared" si="2"/>
        <v>0</v>
      </c>
      <c r="P42" s="4" t="str">
        <f t="shared" si="3"/>
        <v/>
      </c>
      <c r="Q42" s="4" t="str">
        <f t="shared" si="4"/>
        <v/>
      </c>
      <c r="R42" s="4" t="str">
        <f t="shared" si="5"/>
        <v>/</v>
      </c>
      <c r="S42" s="4" t="str">
        <f t="shared" si="6"/>
        <v/>
      </c>
    </row>
    <row r="43" spans="1:19" x14ac:dyDescent="0.35">
      <c r="A43" s="54"/>
      <c r="B43" s="57"/>
      <c r="C43" s="60"/>
      <c r="D43" s="7" t="str">
        <f t="shared" si="0"/>
        <v/>
      </c>
      <c r="E43" s="63" t="str">
        <f>IF(OR(C43="",A43=""),"",IF(A43&lt;'Page de garde'!$G$7,IF(VALUE(RIGHT(C43,2))&lt;50,76,96),INDEX(EC!$C$2:$C$677,MATCH(C43,EC,0))))</f>
        <v/>
      </c>
      <c r="F43" s="33" t="str">
        <f t="shared" si="1"/>
        <v/>
      </c>
      <c r="G43" s="38"/>
      <c r="H43" s="38"/>
      <c r="I43" s="38"/>
      <c r="J43" s="36"/>
      <c r="K43" s="29"/>
      <c r="L43" s="29"/>
      <c r="M43" s="31"/>
      <c r="N43" s="39">
        <f t="shared" si="2"/>
        <v>0</v>
      </c>
      <c r="P43" s="4" t="str">
        <f t="shared" si="3"/>
        <v/>
      </c>
      <c r="Q43" s="4" t="str">
        <f t="shared" si="4"/>
        <v/>
      </c>
      <c r="R43" s="4" t="str">
        <f t="shared" si="5"/>
        <v>/</v>
      </c>
      <c r="S43" s="4" t="str">
        <f t="shared" si="6"/>
        <v/>
      </c>
    </row>
    <row r="44" spans="1:19" x14ac:dyDescent="0.35">
      <c r="A44" s="54"/>
      <c r="B44" s="57"/>
      <c r="C44" s="60"/>
      <c r="D44" s="7" t="str">
        <f t="shared" si="0"/>
        <v/>
      </c>
      <c r="E44" s="63" t="str">
        <f>IF(OR(C44="",A44=""),"",IF(A44&lt;'Page de garde'!$G$7,IF(VALUE(RIGHT(C44,2))&lt;50,76,96),INDEX(EC!$C$2:$C$677,MATCH(C44,EC,0))))</f>
        <v/>
      </c>
      <c r="F44" s="33" t="str">
        <f t="shared" si="1"/>
        <v/>
      </c>
      <c r="G44" s="38"/>
      <c r="H44" s="38"/>
      <c r="I44" s="38"/>
      <c r="J44" s="36"/>
      <c r="K44" s="29"/>
      <c r="L44" s="29"/>
      <c r="M44" s="31"/>
      <c r="N44" s="39">
        <f t="shared" si="2"/>
        <v>0</v>
      </c>
      <c r="P44" s="4" t="str">
        <f t="shared" si="3"/>
        <v/>
      </c>
      <c r="Q44" s="4" t="str">
        <f t="shared" si="4"/>
        <v/>
      </c>
      <c r="R44" s="4" t="str">
        <f t="shared" si="5"/>
        <v>/</v>
      </c>
      <c r="S44" s="4" t="str">
        <f t="shared" si="6"/>
        <v/>
      </c>
    </row>
    <row r="45" spans="1:19" x14ac:dyDescent="0.35">
      <c r="A45" s="54"/>
      <c r="B45" s="57"/>
      <c r="C45" s="60"/>
      <c r="D45" s="7" t="str">
        <f t="shared" si="0"/>
        <v/>
      </c>
      <c r="E45" s="63" t="str">
        <f>IF(OR(C45="",A45=""),"",IF(A45&lt;'Page de garde'!$G$7,IF(VALUE(RIGHT(C45,2))&lt;50,76,96),INDEX(EC!$C$2:$C$677,MATCH(C45,EC,0))))</f>
        <v/>
      </c>
      <c r="F45" s="33" t="str">
        <f t="shared" si="1"/>
        <v/>
      </c>
      <c r="G45" s="38"/>
      <c r="H45" s="38"/>
      <c r="I45" s="38"/>
      <c r="J45" s="36"/>
      <c r="K45" s="29"/>
      <c r="L45" s="29"/>
      <c r="M45" s="31"/>
      <c r="N45" s="39">
        <f t="shared" si="2"/>
        <v>0</v>
      </c>
      <c r="P45" s="4" t="str">
        <f t="shared" si="3"/>
        <v/>
      </c>
      <c r="Q45" s="4" t="str">
        <f t="shared" si="4"/>
        <v/>
      </c>
      <c r="R45" s="4" t="str">
        <f t="shared" si="5"/>
        <v>/</v>
      </c>
      <c r="S45" s="4" t="str">
        <f t="shared" si="6"/>
        <v/>
      </c>
    </row>
    <row r="46" spans="1:19" x14ac:dyDescent="0.35">
      <c r="A46" s="54"/>
      <c r="B46" s="57"/>
      <c r="C46" s="60"/>
      <c r="D46" s="7" t="str">
        <f t="shared" si="0"/>
        <v/>
      </c>
      <c r="E46" s="63" t="str">
        <f>IF(OR(C46="",A46=""),"",IF(A46&lt;'Page de garde'!$G$7,IF(VALUE(RIGHT(C46,2))&lt;50,76,96),INDEX(EC!$C$2:$C$677,MATCH(C46,EC,0))))</f>
        <v/>
      </c>
      <c r="F46" s="33" t="str">
        <f t="shared" si="1"/>
        <v/>
      </c>
      <c r="G46" s="38"/>
      <c r="H46" s="38"/>
      <c r="I46" s="38"/>
      <c r="J46" s="36"/>
      <c r="K46" s="29"/>
      <c r="L46" s="29"/>
      <c r="M46" s="31"/>
      <c r="N46" s="39">
        <f t="shared" si="2"/>
        <v>0</v>
      </c>
      <c r="P46" s="4" t="str">
        <f t="shared" si="3"/>
        <v/>
      </c>
      <c r="Q46" s="4" t="str">
        <f t="shared" si="4"/>
        <v/>
      </c>
      <c r="R46" s="4" t="str">
        <f t="shared" si="5"/>
        <v>/</v>
      </c>
      <c r="S46" s="4" t="str">
        <f t="shared" si="6"/>
        <v/>
      </c>
    </row>
    <row r="47" spans="1:19" x14ac:dyDescent="0.35">
      <c r="A47" s="54"/>
      <c r="B47" s="57"/>
      <c r="C47" s="60"/>
      <c r="D47" s="7" t="str">
        <f t="shared" si="0"/>
        <v/>
      </c>
      <c r="E47" s="63" t="str">
        <f>IF(OR(C47="",A47=""),"",IF(A47&lt;'Page de garde'!$G$7,IF(VALUE(RIGHT(C47,2))&lt;50,76,96),INDEX(EC!$C$2:$C$677,MATCH(C47,EC,0))))</f>
        <v/>
      </c>
      <c r="F47" s="33" t="str">
        <f t="shared" si="1"/>
        <v/>
      </c>
      <c r="G47" s="38"/>
      <c r="H47" s="38"/>
      <c r="I47" s="38"/>
      <c r="J47" s="36"/>
      <c r="K47" s="29"/>
      <c r="L47" s="29"/>
      <c r="M47" s="31"/>
      <c r="N47" s="39">
        <f t="shared" si="2"/>
        <v>0</v>
      </c>
      <c r="P47" s="4" t="str">
        <f t="shared" si="3"/>
        <v/>
      </c>
      <c r="Q47" s="4" t="str">
        <f t="shared" si="4"/>
        <v/>
      </c>
      <c r="R47" s="4" t="str">
        <f t="shared" si="5"/>
        <v>/</v>
      </c>
      <c r="S47" s="4" t="str">
        <f t="shared" si="6"/>
        <v/>
      </c>
    </row>
    <row r="48" spans="1:19" x14ac:dyDescent="0.35">
      <c r="A48" s="54"/>
      <c r="B48" s="57"/>
      <c r="C48" s="60"/>
      <c r="D48" s="7" t="str">
        <f t="shared" si="0"/>
        <v/>
      </c>
      <c r="E48" s="63" t="str">
        <f>IF(OR(C48="",A48=""),"",IF(A48&lt;'Page de garde'!$G$7,IF(VALUE(RIGHT(C48,2))&lt;50,76,96),INDEX(EC!$C$2:$C$677,MATCH(C48,EC,0))))</f>
        <v/>
      </c>
      <c r="F48" s="33" t="str">
        <f t="shared" si="1"/>
        <v/>
      </c>
      <c r="G48" s="38"/>
      <c r="H48" s="38"/>
      <c r="I48" s="38"/>
      <c r="J48" s="36"/>
      <c r="K48" s="29"/>
      <c r="L48" s="29"/>
      <c r="M48" s="31"/>
      <c r="N48" s="39">
        <f t="shared" si="2"/>
        <v>0</v>
      </c>
      <c r="P48" s="4" t="str">
        <f t="shared" si="3"/>
        <v/>
      </c>
      <c r="Q48" s="4" t="str">
        <f t="shared" si="4"/>
        <v/>
      </c>
      <c r="R48" s="4" t="str">
        <f t="shared" si="5"/>
        <v>/</v>
      </c>
      <c r="S48" s="4" t="str">
        <f t="shared" si="6"/>
        <v/>
      </c>
    </row>
    <row r="49" spans="1:19" x14ac:dyDescent="0.35">
      <c r="A49" s="54"/>
      <c r="B49" s="57"/>
      <c r="C49" s="60"/>
      <c r="D49" s="7" t="str">
        <f t="shared" si="0"/>
        <v/>
      </c>
      <c r="E49" s="63" t="str">
        <f>IF(OR(C49="",A49=""),"",IF(A49&lt;'Page de garde'!$G$7,IF(VALUE(RIGHT(C49,2))&lt;50,76,96),INDEX(EC!$C$2:$C$677,MATCH(C49,EC,0))))</f>
        <v/>
      </c>
      <c r="F49" s="33" t="str">
        <f t="shared" si="1"/>
        <v/>
      </c>
      <c r="G49" s="38"/>
      <c r="H49" s="38"/>
      <c r="I49" s="38"/>
      <c r="J49" s="36"/>
      <c r="K49" s="29"/>
      <c r="L49" s="29"/>
      <c r="M49" s="31"/>
      <c r="N49" s="39">
        <f t="shared" si="2"/>
        <v>0</v>
      </c>
      <c r="P49" s="4" t="str">
        <f t="shared" si="3"/>
        <v/>
      </c>
      <c r="Q49" s="4" t="str">
        <f t="shared" si="4"/>
        <v/>
      </c>
      <c r="R49" s="4" t="str">
        <f t="shared" si="5"/>
        <v>/</v>
      </c>
      <c r="S49" s="4" t="str">
        <f t="shared" si="6"/>
        <v/>
      </c>
    </row>
    <row r="50" spans="1:19" x14ac:dyDescent="0.35">
      <c r="A50" s="54"/>
      <c r="B50" s="57"/>
      <c r="C50" s="60"/>
      <c r="D50" s="7" t="str">
        <f t="shared" si="0"/>
        <v/>
      </c>
      <c r="E50" s="63" t="str">
        <f>IF(OR(C50="",A50=""),"",IF(A50&lt;'Page de garde'!$G$7,IF(VALUE(RIGHT(C50,2))&lt;50,76,96),INDEX(EC!$C$2:$C$677,MATCH(C50,EC,0))))</f>
        <v/>
      </c>
      <c r="F50" s="33" t="str">
        <f t="shared" si="1"/>
        <v/>
      </c>
      <c r="G50" s="38"/>
      <c r="H50" s="38"/>
      <c r="I50" s="38"/>
      <c r="J50" s="36"/>
      <c r="K50" s="29"/>
      <c r="L50" s="29"/>
      <c r="M50" s="31"/>
      <c r="N50" s="39">
        <f t="shared" si="2"/>
        <v>0</v>
      </c>
      <c r="P50" s="4" t="str">
        <f t="shared" si="3"/>
        <v/>
      </c>
      <c r="Q50" s="4" t="str">
        <f t="shared" si="4"/>
        <v/>
      </c>
      <c r="R50" s="4" t="str">
        <f t="shared" si="5"/>
        <v>/</v>
      </c>
      <c r="S50" s="4" t="str">
        <f t="shared" si="6"/>
        <v/>
      </c>
    </row>
    <row r="51" spans="1:19" x14ac:dyDescent="0.35">
      <c r="A51" s="54"/>
      <c r="B51" s="57"/>
      <c r="C51" s="60"/>
      <c r="D51" s="7" t="str">
        <f t="shared" si="0"/>
        <v/>
      </c>
      <c r="E51" s="63" t="str">
        <f>IF(OR(C51="",A51=""),"",IF(A51&lt;'Page de garde'!$G$7,IF(VALUE(RIGHT(C51,2))&lt;50,76,96),INDEX(EC!$C$2:$C$677,MATCH(C51,EC,0))))</f>
        <v/>
      </c>
      <c r="F51" s="33" t="str">
        <f t="shared" si="1"/>
        <v/>
      </c>
      <c r="G51" s="38"/>
      <c r="H51" s="38"/>
      <c r="I51" s="38"/>
      <c r="J51" s="36"/>
      <c r="K51" s="29"/>
      <c r="L51" s="29"/>
      <c r="M51" s="31"/>
      <c r="N51" s="39">
        <f t="shared" si="2"/>
        <v>0</v>
      </c>
      <c r="P51" s="4" t="str">
        <f t="shared" si="3"/>
        <v/>
      </c>
      <c r="Q51" s="4" t="str">
        <f t="shared" si="4"/>
        <v/>
      </c>
      <c r="R51" s="4" t="str">
        <f t="shared" si="5"/>
        <v>/</v>
      </c>
      <c r="S51" s="4" t="str">
        <f t="shared" si="6"/>
        <v/>
      </c>
    </row>
    <row r="52" spans="1:19" x14ac:dyDescent="0.35">
      <c r="A52" s="54"/>
      <c r="B52" s="57"/>
      <c r="C52" s="60"/>
      <c r="D52" s="7" t="str">
        <f t="shared" si="0"/>
        <v/>
      </c>
      <c r="E52" s="63" t="str">
        <f>IF(OR(C52="",A52=""),"",IF(A52&lt;'Page de garde'!$G$7,IF(VALUE(RIGHT(C52,2))&lt;50,76,96),INDEX(EC!$C$2:$C$677,MATCH(C52,EC,0))))</f>
        <v/>
      </c>
      <c r="F52" s="33" t="str">
        <f t="shared" si="1"/>
        <v/>
      </c>
      <c r="G52" s="38"/>
      <c r="H52" s="38"/>
      <c r="I52" s="38"/>
      <c r="J52" s="36"/>
      <c r="K52" s="29"/>
      <c r="L52" s="29"/>
      <c r="M52" s="31"/>
      <c r="N52" s="39">
        <f t="shared" si="2"/>
        <v>0</v>
      </c>
      <c r="P52" s="4" t="str">
        <f t="shared" si="3"/>
        <v/>
      </c>
      <c r="Q52" s="4" t="str">
        <f t="shared" si="4"/>
        <v/>
      </c>
      <c r="R52" s="4" t="str">
        <f t="shared" si="5"/>
        <v>/</v>
      </c>
      <c r="S52" s="4" t="str">
        <f t="shared" si="6"/>
        <v/>
      </c>
    </row>
    <row r="53" spans="1:19" x14ac:dyDescent="0.35">
      <c r="A53" s="54"/>
      <c r="B53" s="57"/>
      <c r="C53" s="60"/>
      <c r="D53" s="7" t="str">
        <f t="shared" si="0"/>
        <v/>
      </c>
      <c r="E53" s="63" t="str">
        <f>IF(OR(C53="",A53=""),"",IF(A53&lt;'Page de garde'!$G$7,IF(VALUE(RIGHT(C53,2))&lt;50,76,96),INDEX(EC!$C$2:$C$677,MATCH(C53,EC,0))))</f>
        <v/>
      </c>
      <c r="F53" s="33" t="str">
        <f t="shared" si="1"/>
        <v/>
      </c>
      <c r="G53" s="38"/>
      <c r="H53" s="38"/>
      <c r="I53" s="38"/>
      <c r="J53" s="36"/>
      <c r="K53" s="29"/>
      <c r="L53" s="29"/>
      <c r="M53" s="31"/>
      <c r="N53" s="39">
        <f t="shared" si="2"/>
        <v>0</v>
      </c>
      <c r="P53" s="4" t="str">
        <f t="shared" si="3"/>
        <v/>
      </c>
      <c r="Q53" s="4" t="str">
        <f t="shared" si="4"/>
        <v/>
      </c>
      <c r="R53" s="4" t="str">
        <f t="shared" si="5"/>
        <v>/</v>
      </c>
      <c r="S53" s="4" t="str">
        <f t="shared" si="6"/>
        <v/>
      </c>
    </row>
    <row r="54" spans="1:19" x14ac:dyDescent="0.35">
      <c r="A54" s="54"/>
      <c r="B54" s="57"/>
      <c r="C54" s="60"/>
      <c r="D54" s="7" t="str">
        <f t="shared" si="0"/>
        <v/>
      </c>
      <c r="E54" s="63" t="str">
        <f>IF(OR(C54="",A54=""),"",IF(A54&lt;'Page de garde'!$G$7,IF(VALUE(RIGHT(C54,2))&lt;50,76,96),INDEX(EC!$C$2:$C$677,MATCH(C54,EC,0))))</f>
        <v/>
      </c>
      <c r="F54" s="33" t="str">
        <f t="shared" si="1"/>
        <v/>
      </c>
      <c r="G54" s="38"/>
      <c r="H54" s="38"/>
      <c r="I54" s="38"/>
      <c r="J54" s="36"/>
      <c r="K54" s="29"/>
      <c r="L54" s="29"/>
      <c r="M54" s="31"/>
      <c r="N54" s="39">
        <f t="shared" si="2"/>
        <v>0</v>
      </c>
      <c r="P54" s="4" t="str">
        <f t="shared" si="3"/>
        <v/>
      </c>
      <c r="Q54" s="4" t="str">
        <f t="shared" si="4"/>
        <v/>
      </c>
      <c r="R54" s="4" t="str">
        <f t="shared" si="5"/>
        <v>/</v>
      </c>
      <c r="S54" s="4" t="str">
        <f t="shared" si="6"/>
        <v/>
      </c>
    </row>
    <row r="55" spans="1:19" x14ac:dyDescent="0.35">
      <c r="A55" s="54"/>
      <c r="B55" s="57"/>
      <c r="C55" s="60"/>
      <c r="D55" s="7" t="str">
        <f t="shared" si="0"/>
        <v/>
      </c>
      <c r="E55" s="63" t="str">
        <f>IF(OR(C55="",A55=""),"",IF(A55&lt;'Page de garde'!$G$7,IF(VALUE(RIGHT(C55,2))&lt;50,76,96),INDEX(EC!$C$2:$C$677,MATCH(C55,EC,0))))</f>
        <v/>
      </c>
      <c r="F55" s="33" t="str">
        <f t="shared" si="1"/>
        <v/>
      </c>
      <c r="G55" s="38"/>
      <c r="H55" s="38"/>
      <c r="I55" s="38"/>
      <c r="J55" s="36"/>
      <c r="K55" s="29"/>
      <c r="L55" s="29"/>
      <c r="M55" s="31"/>
      <c r="N55" s="39">
        <f t="shared" si="2"/>
        <v>0</v>
      </c>
      <c r="P55" s="4" t="str">
        <f t="shared" si="3"/>
        <v/>
      </c>
      <c r="Q55" s="4" t="str">
        <f t="shared" si="4"/>
        <v/>
      </c>
      <c r="R55" s="4" t="str">
        <f t="shared" si="5"/>
        <v>/</v>
      </c>
      <c r="S55" s="4" t="str">
        <f t="shared" si="6"/>
        <v/>
      </c>
    </row>
    <row r="56" spans="1:19" x14ac:dyDescent="0.35">
      <c r="A56" s="54"/>
      <c r="B56" s="57"/>
      <c r="C56" s="60"/>
      <c r="D56" s="7" t="str">
        <f t="shared" si="0"/>
        <v/>
      </c>
      <c r="E56" s="63" t="str">
        <f>IF(OR(C56="",A56=""),"",IF(A56&lt;'Page de garde'!$G$7,IF(VALUE(RIGHT(C56,2))&lt;50,76,96),INDEX(EC!$C$2:$C$677,MATCH(C56,EC,0))))</f>
        <v/>
      </c>
      <c r="F56" s="33" t="str">
        <f t="shared" si="1"/>
        <v/>
      </c>
      <c r="G56" s="38"/>
      <c r="H56" s="38"/>
      <c r="I56" s="38"/>
      <c r="J56" s="36"/>
      <c r="K56" s="29"/>
      <c r="L56" s="29"/>
      <c r="M56" s="31"/>
      <c r="N56" s="39">
        <f t="shared" si="2"/>
        <v>0</v>
      </c>
      <c r="P56" s="4" t="str">
        <f t="shared" si="3"/>
        <v/>
      </c>
      <c r="Q56" s="4" t="str">
        <f t="shared" si="4"/>
        <v/>
      </c>
      <c r="R56" s="4" t="str">
        <f t="shared" si="5"/>
        <v>/</v>
      </c>
      <c r="S56" s="4" t="str">
        <f t="shared" si="6"/>
        <v/>
      </c>
    </row>
    <row r="57" spans="1:19" x14ac:dyDescent="0.35">
      <c r="A57" s="54"/>
      <c r="B57" s="57"/>
      <c r="C57" s="60"/>
      <c r="D57" s="7" t="str">
        <f t="shared" si="0"/>
        <v/>
      </c>
      <c r="E57" s="63" t="str">
        <f>IF(OR(C57="",A57=""),"",IF(A57&lt;'Page de garde'!$G$7,IF(VALUE(RIGHT(C57,2))&lt;50,76,96),INDEX(EC!$C$2:$C$677,MATCH(C57,EC,0))))</f>
        <v/>
      </c>
      <c r="F57" s="33" t="str">
        <f t="shared" si="1"/>
        <v/>
      </c>
      <c r="G57" s="38"/>
      <c r="H57" s="38"/>
      <c r="I57" s="38"/>
      <c r="J57" s="36"/>
      <c r="K57" s="29"/>
      <c r="L57" s="29"/>
      <c r="M57" s="31"/>
      <c r="N57" s="39">
        <f t="shared" si="2"/>
        <v>0</v>
      </c>
      <c r="P57" s="4" t="str">
        <f t="shared" si="3"/>
        <v/>
      </c>
      <c r="Q57" s="4" t="str">
        <f t="shared" si="4"/>
        <v/>
      </c>
      <c r="R57" s="4" t="str">
        <f t="shared" si="5"/>
        <v>/</v>
      </c>
      <c r="S57" s="4" t="str">
        <f t="shared" si="6"/>
        <v/>
      </c>
    </row>
    <row r="58" spans="1:19" x14ac:dyDescent="0.35">
      <c r="A58" s="54"/>
      <c r="B58" s="57"/>
      <c r="C58" s="60"/>
      <c r="D58" s="7" t="str">
        <f t="shared" si="0"/>
        <v/>
      </c>
      <c r="E58" s="63" t="str">
        <f>IF(OR(C58="",A58=""),"",IF(A58&lt;'Page de garde'!$G$7,IF(VALUE(RIGHT(C58,2))&lt;50,76,96),INDEX(EC!$C$2:$C$677,MATCH(C58,EC,0))))</f>
        <v/>
      </c>
      <c r="F58" s="33" t="str">
        <f t="shared" si="1"/>
        <v/>
      </c>
      <c r="G58" s="38"/>
      <c r="H58" s="38"/>
      <c r="I58" s="38"/>
      <c r="J58" s="36"/>
      <c r="K58" s="29"/>
      <c r="L58" s="29"/>
      <c r="M58" s="31"/>
      <c r="N58" s="39">
        <f t="shared" si="2"/>
        <v>0</v>
      </c>
      <c r="P58" s="4" t="str">
        <f t="shared" si="3"/>
        <v/>
      </c>
      <c r="Q58" s="4" t="str">
        <f t="shared" si="4"/>
        <v/>
      </c>
      <c r="R58" s="4" t="str">
        <f t="shared" si="5"/>
        <v>/</v>
      </c>
      <c r="S58" s="4" t="str">
        <f t="shared" si="6"/>
        <v/>
      </c>
    </row>
    <row r="59" spans="1:19" x14ac:dyDescent="0.35">
      <c r="A59" s="54"/>
      <c r="B59" s="57"/>
      <c r="C59" s="60"/>
      <c r="D59" s="7" t="str">
        <f t="shared" si="0"/>
        <v/>
      </c>
      <c r="E59" s="63" t="str">
        <f>IF(OR(C59="",A59=""),"",IF(A59&lt;'Page de garde'!$G$7,IF(VALUE(RIGHT(C59,2))&lt;50,76,96),INDEX(EC!$C$2:$C$677,MATCH(C59,EC,0))))</f>
        <v/>
      </c>
      <c r="F59" s="33" t="str">
        <f t="shared" si="1"/>
        <v/>
      </c>
      <c r="G59" s="38"/>
      <c r="H59" s="38"/>
      <c r="I59" s="38"/>
      <c r="J59" s="36"/>
      <c r="K59" s="29"/>
      <c r="L59" s="29"/>
      <c r="M59" s="31"/>
      <c r="N59" s="39">
        <f t="shared" si="2"/>
        <v>0</v>
      </c>
      <c r="P59" s="4" t="str">
        <f t="shared" si="3"/>
        <v/>
      </c>
      <c r="Q59" s="4" t="str">
        <f t="shared" si="4"/>
        <v/>
      </c>
      <c r="R59" s="4" t="str">
        <f t="shared" si="5"/>
        <v>/</v>
      </c>
      <c r="S59" s="4" t="str">
        <f t="shared" si="6"/>
        <v/>
      </c>
    </row>
    <row r="60" spans="1:19" x14ac:dyDescent="0.35">
      <c r="A60" s="54"/>
      <c r="B60" s="57"/>
      <c r="C60" s="60"/>
      <c r="D60" s="7" t="str">
        <f t="shared" si="0"/>
        <v/>
      </c>
      <c r="E60" s="63" t="str">
        <f>IF(OR(C60="",A60=""),"",IF(A60&lt;'Page de garde'!$G$7,IF(VALUE(RIGHT(C60,2))&lt;50,76,96),INDEX(EC!$C$2:$C$677,MATCH(C60,EC,0))))</f>
        <v/>
      </c>
      <c r="F60" s="33" t="str">
        <f t="shared" si="1"/>
        <v/>
      </c>
      <c r="G60" s="38"/>
      <c r="H60" s="38"/>
      <c r="I60" s="38"/>
      <c r="J60" s="36"/>
      <c r="K60" s="29"/>
      <c r="L60" s="29"/>
      <c r="M60" s="31"/>
      <c r="N60" s="39">
        <f t="shared" si="2"/>
        <v>0</v>
      </c>
      <c r="P60" s="4" t="str">
        <f t="shared" si="3"/>
        <v/>
      </c>
      <c r="Q60" s="4" t="str">
        <f t="shared" si="4"/>
        <v/>
      </c>
      <c r="R60" s="4" t="str">
        <f t="shared" si="5"/>
        <v>/</v>
      </c>
      <c r="S60" s="4" t="str">
        <f t="shared" si="6"/>
        <v/>
      </c>
    </row>
    <row r="61" spans="1:19" x14ac:dyDescent="0.35">
      <c r="A61" s="54"/>
      <c r="B61" s="57"/>
      <c r="C61" s="60"/>
      <c r="D61" s="7" t="str">
        <f t="shared" si="0"/>
        <v/>
      </c>
      <c r="E61" s="63" t="str">
        <f>IF(OR(C61="",A61=""),"",IF(A61&lt;'Page de garde'!$G$7,IF(VALUE(RIGHT(C61,2))&lt;50,76,96),INDEX(EC!$C$2:$C$677,MATCH(C61,EC,0))))</f>
        <v/>
      </c>
      <c r="F61" s="33" t="str">
        <f t="shared" si="1"/>
        <v/>
      </c>
      <c r="G61" s="38"/>
      <c r="H61" s="38"/>
      <c r="I61" s="38"/>
      <c r="J61" s="36"/>
      <c r="K61" s="29"/>
      <c r="L61" s="29"/>
      <c r="M61" s="31"/>
      <c r="N61" s="39">
        <f t="shared" si="2"/>
        <v>0</v>
      </c>
      <c r="P61" s="4" t="str">
        <f t="shared" si="3"/>
        <v/>
      </c>
      <c r="Q61" s="4" t="str">
        <f t="shared" si="4"/>
        <v/>
      </c>
      <c r="R61" s="4" t="str">
        <f t="shared" si="5"/>
        <v>/</v>
      </c>
      <c r="S61" s="4" t="str">
        <f t="shared" si="6"/>
        <v/>
      </c>
    </row>
    <row r="62" spans="1:19" x14ac:dyDescent="0.35">
      <c r="A62" s="54"/>
      <c r="B62" s="57"/>
      <c r="C62" s="60"/>
      <c r="D62" s="7" t="str">
        <f t="shared" si="0"/>
        <v/>
      </c>
      <c r="E62" s="63" t="str">
        <f>IF(OR(C62="",A62=""),"",IF(A62&lt;'Page de garde'!$G$7,IF(VALUE(RIGHT(C62,2))&lt;50,76,96),INDEX(EC!$C$2:$C$677,MATCH(C62,EC,0))))</f>
        <v/>
      </c>
      <c r="F62" s="33" t="str">
        <f t="shared" si="1"/>
        <v/>
      </c>
      <c r="G62" s="38"/>
      <c r="H62" s="38"/>
      <c r="I62" s="38"/>
      <c r="J62" s="36"/>
      <c r="K62" s="29"/>
      <c r="L62" s="29"/>
      <c r="M62" s="31"/>
      <c r="N62" s="39">
        <f t="shared" si="2"/>
        <v>0</v>
      </c>
      <c r="P62" s="4" t="str">
        <f t="shared" si="3"/>
        <v/>
      </c>
      <c r="Q62" s="4" t="str">
        <f t="shared" si="4"/>
        <v/>
      </c>
      <c r="R62" s="4" t="str">
        <f t="shared" si="5"/>
        <v>/</v>
      </c>
      <c r="S62" s="4" t="str">
        <f t="shared" si="6"/>
        <v/>
      </c>
    </row>
    <row r="63" spans="1:19" x14ac:dyDescent="0.35">
      <c r="A63" s="54"/>
      <c r="B63" s="57"/>
      <c r="C63" s="60"/>
      <c r="D63" s="7" t="str">
        <f t="shared" si="0"/>
        <v/>
      </c>
      <c r="E63" s="63" t="str">
        <f>IF(OR(C63="",A63=""),"",IF(A63&lt;'Page de garde'!$G$7,IF(VALUE(RIGHT(C63,2))&lt;50,76,96),INDEX(EC!$C$2:$C$677,MATCH(C63,EC,0))))</f>
        <v/>
      </c>
      <c r="F63" s="33" t="str">
        <f t="shared" si="1"/>
        <v/>
      </c>
      <c r="G63" s="38"/>
      <c r="H63" s="38"/>
      <c r="I63" s="38"/>
      <c r="J63" s="36"/>
      <c r="K63" s="29"/>
      <c r="L63" s="29"/>
      <c r="M63" s="31"/>
      <c r="N63" s="39">
        <f t="shared" si="2"/>
        <v>0</v>
      </c>
      <c r="P63" s="4" t="str">
        <f t="shared" si="3"/>
        <v/>
      </c>
      <c r="Q63" s="4" t="str">
        <f t="shared" si="4"/>
        <v/>
      </c>
      <c r="R63" s="4" t="str">
        <f t="shared" si="5"/>
        <v>/</v>
      </c>
      <c r="S63" s="4" t="str">
        <f t="shared" si="6"/>
        <v/>
      </c>
    </row>
    <row r="64" spans="1:19" x14ac:dyDescent="0.35">
      <c r="A64" s="54"/>
      <c r="B64" s="57"/>
      <c r="C64" s="60"/>
      <c r="D64" s="7" t="str">
        <f t="shared" si="0"/>
        <v/>
      </c>
      <c r="E64" s="63" t="str">
        <f>IF(OR(C64="",A64=""),"",IF(A64&lt;'Page de garde'!$G$7,IF(VALUE(RIGHT(C64,2))&lt;50,76,96),INDEX(EC!$C$2:$C$677,MATCH(C64,EC,0))))</f>
        <v/>
      </c>
      <c r="F64" s="33" t="str">
        <f t="shared" si="1"/>
        <v/>
      </c>
      <c r="G64" s="38"/>
      <c r="H64" s="38"/>
      <c r="I64" s="38"/>
      <c r="J64" s="36"/>
      <c r="K64" s="29"/>
      <c r="L64" s="29"/>
      <c r="M64" s="31"/>
      <c r="N64" s="39">
        <f t="shared" si="2"/>
        <v>0</v>
      </c>
      <c r="P64" s="4" t="str">
        <f t="shared" si="3"/>
        <v/>
      </c>
      <c r="Q64" s="4" t="str">
        <f t="shared" si="4"/>
        <v/>
      </c>
      <c r="R64" s="4" t="str">
        <f t="shared" si="5"/>
        <v>/</v>
      </c>
      <c r="S64" s="4" t="str">
        <f t="shared" si="6"/>
        <v/>
      </c>
    </row>
    <row r="65" spans="1:19" x14ac:dyDescent="0.35">
      <c r="A65" s="54"/>
      <c r="B65" s="57"/>
      <c r="C65" s="60"/>
      <c r="D65" s="7" t="str">
        <f t="shared" si="0"/>
        <v/>
      </c>
      <c r="E65" s="63" t="str">
        <f>IF(OR(C65="",A65=""),"",IF(A65&lt;'Page de garde'!$G$7,IF(VALUE(RIGHT(C65,2))&lt;50,76,96),INDEX(EC!$C$2:$C$677,MATCH(C65,EC,0))))</f>
        <v/>
      </c>
      <c r="F65" s="33" t="str">
        <f t="shared" si="1"/>
        <v/>
      </c>
      <c r="G65" s="38"/>
      <c r="H65" s="38"/>
      <c r="I65" s="38"/>
      <c r="J65" s="36"/>
      <c r="K65" s="29"/>
      <c r="L65" s="29"/>
      <c r="M65" s="31"/>
      <c r="N65" s="39">
        <f t="shared" si="2"/>
        <v>0</v>
      </c>
      <c r="P65" s="4" t="str">
        <f t="shared" si="3"/>
        <v/>
      </c>
      <c r="Q65" s="4" t="str">
        <f t="shared" si="4"/>
        <v/>
      </c>
      <c r="R65" s="4" t="str">
        <f t="shared" si="5"/>
        <v>/</v>
      </c>
      <c r="S65" s="4" t="str">
        <f t="shared" si="6"/>
        <v/>
      </c>
    </row>
    <row r="66" spans="1:19" x14ac:dyDescent="0.35">
      <c r="A66" s="54"/>
      <c r="B66" s="57"/>
      <c r="C66" s="60"/>
      <c r="D66" s="7" t="str">
        <f t="shared" si="0"/>
        <v/>
      </c>
      <c r="E66" s="63" t="str">
        <f>IF(OR(C66="",A66=""),"",IF(A66&lt;'Page de garde'!$G$7,IF(VALUE(RIGHT(C66,2))&lt;50,76,96),INDEX(EC!$C$2:$C$677,MATCH(C66,EC,0))))</f>
        <v/>
      </c>
      <c r="F66" s="33" t="str">
        <f t="shared" si="1"/>
        <v/>
      </c>
      <c r="G66" s="38"/>
      <c r="H66" s="38"/>
      <c r="I66" s="38"/>
      <c r="J66" s="36"/>
      <c r="K66" s="29"/>
      <c r="L66" s="29"/>
      <c r="M66" s="31"/>
      <c r="N66" s="39">
        <f t="shared" si="2"/>
        <v>0</v>
      </c>
      <c r="P66" s="4" t="str">
        <f t="shared" si="3"/>
        <v/>
      </c>
      <c r="Q66" s="4" t="str">
        <f t="shared" si="4"/>
        <v/>
      </c>
      <c r="R66" s="4" t="str">
        <f t="shared" si="5"/>
        <v>/</v>
      </c>
      <c r="S66" s="4" t="str">
        <f t="shared" si="6"/>
        <v/>
      </c>
    </row>
    <row r="67" spans="1:19" x14ac:dyDescent="0.35">
      <c r="A67" s="54"/>
      <c r="B67" s="57"/>
      <c r="C67" s="60"/>
      <c r="D67" s="7" t="str">
        <f t="shared" si="0"/>
        <v/>
      </c>
      <c r="E67" s="63" t="str">
        <f>IF(OR(C67="",A67=""),"",IF(A67&lt;'Page de garde'!$G$7,IF(VALUE(RIGHT(C67,2))&lt;50,76,96),INDEX(EC!$C$2:$C$677,MATCH(C67,EC,0))))</f>
        <v/>
      </c>
      <c r="F67" s="33" t="str">
        <f t="shared" si="1"/>
        <v/>
      </c>
      <c r="G67" s="38"/>
      <c r="H67" s="38"/>
      <c r="I67" s="38"/>
      <c r="J67" s="36"/>
      <c r="K67" s="29"/>
      <c r="L67" s="29"/>
      <c r="M67" s="31"/>
      <c r="N67" s="39">
        <f t="shared" si="2"/>
        <v>0</v>
      </c>
      <c r="P67" s="4" t="str">
        <f t="shared" si="3"/>
        <v/>
      </c>
      <c r="Q67" s="4" t="str">
        <f t="shared" si="4"/>
        <v/>
      </c>
      <c r="R67" s="4" t="str">
        <f t="shared" si="5"/>
        <v>/</v>
      </c>
      <c r="S67" s="4" t="str">
        <f t="shared" si="6"/>
        <v/>
      </c>
    </row>
    <row r="68" spans="1:19" x14ac:dyDescent="0.35">
      <c r="A68" s="54"/>
      <c r="B68" s="57"/>
      <c r="C68" s="60"/>
      <c r="D68" s="7" t="str">
        <f t="shared" si="0"/>
        <v/>
      </c>
      <c r="E68" s="63" t="str">
        <f>IF(OR(C68="",A68=""),"",IF(A68&lt;'Page de garde'!$G$7,IF(VALUE(RIGHT(C68,2))&lt;50,76,96),INDEX(EC!$C$2:$C$677,MATCH(C68,EC,0))))</f>
        <v/>
      </c>
      <c r="F68" s="33" t="str">
        <f t="shared" si="1"/>
        <v/>
      </c>
      <c r="G68" s="38"/>
      <c r="H68" s="38"/>
      <c r="I68" s="38"/>
      <c r="J68" s="36"/>
      <c r="K68" s="29"/>
      <c r="L68" s="29"/>
      <c r="M68" s="31"/>
      <c r="N68" s="39">
        <f t="shared" si="2"/>
        <v>0</v>
      </c>
      <c r="P68" s="4" t="str">
        <f t="shared" si="3"/>
        <v/>
      </c>
      <c r="Q68" s="4" t="str">
        <f t="shared" si="4"/>
        <v/>
      </c>
      <c r="R68" s="4" t="str">
        <f t="shared" si="5"/>
        <v>/</v>
      </c>
      <c r="S68" s="4" t="str">
        <f t="shared" si="6"/>
        <v/>
      </c>
    </row>
    <row r="69" spans="1:19" x14ac:dyDescent="0.35">
      <c r="A69" s="54"/>
      <c r="B69" s="57"/>
      <c r="C69" s="60"/>
      <c r="D69" s="7" t="str">
        <f t="shared" ref="D69:D132" si="7">IF(OR(B69="",C69=""),"",CONCATENATE(B69,"/",LEFT(C69,3),"-",RIGHT(C69,2)))</f>
        <v/>
      </c>
      <c r="E69" s="63" t="str">
        <f>IF(OR(C69="",A69=""),"",IF(A69&lt;'Page de garde'!$G$7,IF(VALUE(RIGHT(C69,2))&lt;50,76,96),INDEX(EC!$C$2:$C$677,MATCH(C69,EC,0))))</f>
        <v/>
      </c>
      <c r="F69" s="33" t="str">
        <f t="shared" ref="F69:F132" si="8">IF(C69="","",INDEX(OmEC,MATCH(C69,EC,0)))</f>
        <v/>
      </c>
      <c r="G69" s="38"/>
      <c r="H69" s="38"/>
      <c r="I69" s="38"/>
      <c r="J69" s="36"/>
      <c r="K69" s="29"/>
      <c r="L69" s="29"/>
      <c r="M69" s="31"/>
      <c r="N69" s="39">
        <f t="shared" ref="N69:N132" si="9">SUM(I69:M69)</f>
        <v>0</v>
      </c>
      <c r="P69" s="4" t="str">
        <f t="shared" ref="P69:P132" si="10">LEFT(C69,3)</f>
        <v/>
      </c>
      <c r="Q69" s="4" t="str">
        <f t="shared" si="4"/>
        <v/>
      </c>
      <c r="R69" s="4" t="str">
        <f t="shared" si="5"/>
        <v>/</v>
      </c>
      <c r="S69" s="4" t="str">
        <f t="shared" si="6"/>
        <v/>
      </c>
    </row>
    <row r="70" spans="1:19" x14ac:dyDescent="0.35">
      <c r="A70" s="54"/>
      <c r="B70" s="57"/>
      <c r="C70" s="60"/>
      <c r="D70" s="7" t="str">
        <f t="shared" si="7"/>
        <v/>
      </c>
      <c r="E70" s="63" t="str">
        <f>IF(OR(C70="",A70=""),"",IF(A70&lt;'Page de garde'!$G$7,IF(VALUE(RIGHT(C70,2))&lt;50,76,96),INDEX(EC!$C$2:$C$677,MATCH(C70,EC,0))))</f>
        <v/>
      </c>
      <c r="F70" s="33" t="str">
        <f t="shared" si="8"/>
        <v/>
      </c>
      <c r="G70" s="38"/>
      <c r="H70" s="38"/>
      <c r="I70" s="38"/>
      <c r="J70" s="36"/>
      <c r="K70" s="29"/>
      <c r="L70" s="29"/>
      <c r="M70" s="31"/>
      <c r="N70" s="39">
        <f t="shared" si="9"/>
        <v>0</v>
      </c>
      <c r="P70" s="4" t="str">
        <f t="shared" si="10"/>
        <v/>
      </c>
      <c r="Q70" s="4" t="str">
        <f t="shared" ref="Q70:Q133" si="11">IF(C70="","",IF(VALUE(RIGHT(C70,2))&lt;50,"G","B"))</f>
        <v/>
      </c>
      <c r="R70" s="4" t="str">
        <f t="shared" ref="R70:R133" si="12">CONCATENATE(D70,"/",A70)</f>
        <v>/</v>
      </c>
      <c r="S70" s="4" t="str">
        <f t="shared" ref="S70:S133" si="13">LEFT(B70,3)</f>
        <v/>
      </c>
    </row>
    <row r="71" spans="1:19" x14ac:dyDescent="0.35">
      <c r="A71" s="54"/>
      <c r="B71" s="57"/>
      <c r="C71" s="60"/>
      <c r="D71" s="7" t="str">
        <f t="shared" si="7"/>
        <v/>
      </c>
      <c r="E71" s="63" t="str">
        <f>IF(OR(C71="",A71=""),"",IF(A71&lt;'Page de garde'!$G$7,IF(VALUE(RIGHT(C71,2))&lt;50,76,96),INDEX(EC!$C$2:$C$677,MATCH(C71,EC,0))))</f>
        <v/>
      </c>
      <c r="F71" s="33" t="str">
        <f t="shared" si="8"/>
        <v/>
      </c>
      <c r="G71" s="38"/>
      <c r="H71" s="38"/>
      <c r="I71" s="38"/>
      <c r="J71" s="36"/>
      <c r="K71" s="29"/>
      <c r="L71" s="29"/>
      <c r="M71" s="31"/>
      <c r="N71" s="39">
        <f t="shared" si="9"/>
        <v>0</v>
      </c>
      <c r="P71" s="4" t="str">
        <f t="shared" si="10"/>
        <v/>
      </c>
      <c r="Q71" s="4" t="str">
        <f t="shared" si="11"/>
        <v/>
      </c>
      <c r="R71" s="4" t="str">
        <f t="shared" si="12"/>
        <v>/</v>
      </c>
      <c r="S71" s="4" t="str">
        <f t="shared" si="13"/>
        <v/>
      </c>
    </row>
    <row r="72" spans="1:19" x14ac:dyDescent="0.35">
      <c r="A72" s="54"/>
      <c r="B72" s="57"/>
      <c r="C72" s="60"/>
      <c r="D72" s="7" t="str">
        <f t="shared" si="7"/>
        <v/>
      </c>
      <c r="E72" s="63" t="str">
        <f>IF(OR(C72="",A72=""),"",IF(A72&lt;'Page de garde'!$G$7,IF(VALUE(RIGHT(C72,2))&lt;50,76,96),INDEX(EC!$C$2:$C$677,MATCH(C72,EC,0))))</f>
        <v/>
      </c>
      <c r="F72" s="33" t="str">
        <f t="shared" si="8"/>
        <v/>
      </c>
      <c r="G72" s="38"/>
      <c r="H72" s="38"/>
      <c r="I72" s="38"/>
      <c r="J72" s="36"/>
      <c r="K72" s="29"/>
      <c r="L72" s="29"/>
      <c r="M72" s="31"/>
      <c r="N72" s="39">
        <f t="shared" si="9"/>
        <v>0</v>
      </c>
      <c r="P72" s="4" t="str">
        <f t="shared" si="10"/>
        <v/>
      </c>
      <c r="Q72" s="4" t="str">
        <f t="shared" si="11"/>
        <v/>
      </c>
      <c r="R72" s="4" t="str">
        <f t="shared" si="12"/>
        <v>/</v>
      </c>
      <c r="S72" s="4" t="str">
        <f t="shared" si="13"/>
        <v/>
      </c>
    </row>
    <row r="73" spans="1:19" x14ac:dyDescent="0.35">
      <c r="A73" s="54"/>
      <c r="B73" s="57"/>
      <c r="C73" s="60"/>
      <c r="D73" s="7" t="str">
        <f t="shared" si="7"/>
        <v/>
      </c>
      <c r="E73" s="63" t="str">
        <f>IF(OR(C73="",A73=""),"",IF(A73&lt;'Page de garde'!$G$7,IF(VALUE(RIGHT(C73,2))&lt;50,76,96),INDEX(EC!$C$2:$C$677,MATCH(C73,EC,0))))</f>
        <v/>
      </c>
      <c r="F73" s="33" t="str">
        <f t="shared" si="8"/>
        <v/>
      </c>
      <c r="G73" s="38"/>
      <c r="H73" s="38"/>
      <c r="I73" s="38"/>
      <c r="J73" s="36"/>
      <c r="K73" s="29"/>
      <c r="L73" s="29"/>
      <c r="M73" s="31"/>
      <c r="N73" s="39">
        <f t="shared" si="9"/>
        <v>0</v>
      </c>
      <c r="P73" s="4" t="str">
        <f t="shared" si="10"/>
        <v/>
      </c>
      <c r="Q73" s="4" t="str">
        <f t="shared" si="11"/>
        <v/>
      </c>
      <c r="R73" s="4" t="str">
        <f t="shared" si="12"/>
        <v>/</v>
      </c>
      <c r="S73" s="4" t="str">
        <f t="shared" si="13"/>
        <v/>
      </c>
    </row>
    <row r="74" spans="1:19" x14ac:dyDescent="0.35">
      <c r="A74" s="54"/>
      <c r="B74" s="57"/>
      <c r="C74" s="60"/>
      <c r="D74" s="7" t="str">
        <f t="shared" si="7"/>
        <v/>
      </c>
      <c r="E74" s="63" t="str">
        <f>IF(OR(C74="",A74=""),"",IF(A74&lt;'Page de garde'!$G$7,IF(VALUE(RIGHT(C74,2))&lt;50,76,96),INDEX(EC!$C$2:$C$677,MATCH(C74,EC,0))))</f>
        <v/>
      </c>
      <c r="F74" s="33" t="str">
        <f t="shared" si="8"/>
        <v/>
      </c>
      <c r="G74" s="38"/>
      <c r="H74" s="38"/>
      <c r="I74" s="38"/>
      <c r="J74" s="36"/>
      <c r="K74" s="29"/>
      <c r="L74" s="29"/>
      <c r="M74" s="31"/>
      <c r="N74" s="39">
        <f t="shared" si="9"/>
        <v>0</v>
      </c>
      <c r="P74" s="4" t="str">
        <f t="shared" si="10"/>
        <v/>
      </c>
      <c r="Q74" s="4" t="str">
        <f t="shared" si="11"/>
        <v/>
      </c>
      <c r="R74" s="4" t="str">
        <f t="shared" si="12"/>
        <v>/</v>
      </c>
      <c r="S74" s="4" t="str">
        <f t="shared" si="13"/>
        <v/>
      </c>
    </row>
    <row r="75" spans="1:19" x14ac:dyDescent="0.35">
      <c r="A75" s="54"/>
      <c r="B75" s="57"/>
      <c r="C75" s="60"/>
      <c r="D75" s="7" t="str">
        <f t="shared" si="7"/>
        <v/>
      </c>
      <c r="E75" s="63" t="str">
        <f>IF(OR(C75="",A75=""),"",IF(A75&lt;'Page de garde'!$G$7,IF(VALUE(RIGHT(C75,2))&lt;50,76,96),INDEX(EC!$C$2:$C$677,MATCH(C75,EC,0))))</f>
        <v/>
      </c>
      <c r="F75" s="33" t="str">
        <f t="shared" si="8"/>
        <v/>
      </c>
      <c r="G75" s="38"/>
      <c r="H75" s="38"/>
      <c r="I75" s="38"/>
      <c r="J75" s="36"/>
      <c r="K75" s="29"/>
      <c r="L75" s="29"/>
      <c r="M75" s="31"/>
      <c r="N75" s="39">
        <f t="shared" si="9"/>
        <v>0</v>
      </c>
      <c r="P75" s="4" t="str">
        <f t="shared" si="10"/>
        <v/>
      </c>
      <c r="Q75" s="4" t="str">
        <f t="shared" si="11"/>
        <v/>
      </c>
      <c r="R75" s="4" t="str">
        <f t="shared" si="12"/>
        <v>/</v>
      </c>
      <c r="S75" s="4" t="str">
        <f t="shared" si="13"/>
        <v/>
      </c>
    </row>
    <row r="76" spans="1:19" x14ac:dyDescent="0.35">
      <c r="A76" s="54"/>
      <c r="B76" s="57"/>
      <c r="C76" s="60"/>
      <c r="D76" s="7" t="str">
        <f t="shared" si="7"/>
        <v/>
      </c>
      <c r="E76" s="63" t="str">
        <f>IF(OR(C76="",A76=""),"",IF(A76&lt;'Page de garde'!$G$7,IF(VALUE(RIGHT(C76,2))&lt;50,76,96),INDEX(EC!$C$2:$C$677,MATCH(C76,EC,0))))</f>
        <v/>
      </c>
      <c r="F76" s="33" t="str">
        <f t="shared" si="8"/>
        <v/>
      </c>
      <c r="G76" s="38"/>
      <c r="H76" s="38"/>
      <c r="I76" s="38"/>
      <c r="J76" s="36"/>
      <c r="K76" s="29"/>
      <c r="L76" s="29"/>
      <c r="M76" s="31"/>
      <c r="N76" s="39">
        <f t="shared" si="9"/>
        <v>0</v>
      </c>
      <c r="P76" s="4" t="str">
        <f t="shared" si="10"/>
        <v/>
      </c>
      <c r="Q76" s="4" t="str">
        <f t="shared" si="11"/>
        <v/>
      </c>
      <c r="R76" s="4" t="str">
        <f t="shared" si="12"/>
        <v>/</v>
      </c>
      <c r="S76" s="4" t="str">
        <f t="shared" si="13"/>
        <v/>
      </c>
    </row>
    <row r="77" spans="1:19" x14ac:dyDescent="0.35">
      <c r="A77" s="54"/>
      <c r="B77" s="57"/>
      <c r="C77" s="60"/>
      <c r="D77" s="7" t="str">
        <f t="shared" si="7"/>
        <v/>
      </c>
      <c r="E77" s="63" t="str">
        <f>IF(OR(C77="",A77=""),"",IF(A77&lt;'Page de garde'!$G$7,IF(VALUE(RIGHT(C77,2))&lt;50,76,96),INDEX(EC!$C$2:$C$677,MATCH(C77,EC,0))))</f>
        <v/>
      </c>
      <c r="F77" s="33" t="str">
        <f t="shared" si="8"/>
        <v/>
      </c>
      <c r="G77" s="38"/>
      <c r="H77" s="38"/>
      <c r="I77" s="38"/>
      <c r="J77" s="36"/>
      <c r="K77" s="29"/>
      <c r="L77" s="29"/>
      <c r="M77" s="31"/>
      <c r="N77" s="39">
        <f t="shared" si="9"/>
        <v>0</v>
      </c>
      <c r="P77" s="4" t="str">
        <f t="shared" si="10"/>
        <v/>
      </c>
      <c r="Q77" s="4" t="str">
        <f t="shared" si="11"/>
        <v/>
      </c>
      <c r="R77" s="4" t="str">
        <f t="shared" si="12"/>
        <v>/</v>
      </c>
      <c r="S77" s="4" t="str">
        <f t="shared" si="13"/>
        <v/>
      </c>
    </row>
    <row r="78" spans="1:19" x14ac:dyDescent="0.35">
      <c r="A78" s="54"/>
      <c r="B78" s="57"/>
      <c r="C78" s="60"/>
      <c r="D78" s="7" t="str">
        <f t="shared" si="7"/>
        <v/>
      </c>
      <c r="E78" s="63" t="str">
        <f>IF(OR(C78="",A78=""),"",IF(A78&lt;'Page de garde'!$G$7,IF(VALUE(RIGHT(C78,2))&lt;50,76,96),INDEX(EC!$C$2:$C$677,MATCH(C78,EC,0))))</f>
        <v/>
      </c>
      <c r="F78" s="33" t="str">
        <f t="shared" si="8"/>
        <v/>
      </c>
      <c r="G78" s="38"/>
      <c r="H78" s="38"/>
      <c r="I78" s="38"/>
      <c r="J78" s="36"/>
      <c r="K78" s="29"/>
      <c r="L78" s="29"/>
      <c r="M78" s="31"/>
      <c r="N78" s="39">
        <f t="shared" si="9"/>
        <v>0</v>
      </c>
      <c r="P78" s="4" t="str">
        <f t="shared" si="10"/>
        <v/>
      </c>
      <c r="Q78" s="4" t="str">
        <f t="shared" si="11"/>
        <v/>
      </c>
      <c r="R78" s="4" t="str">
        <f t="shared" si="12"/>
        <v>/</v>
      </c>
      <c r="S78" s="4" t="str">
        <f t="shared" si="13"/>
        <v/>
      </c>
    </row>
    <row r="79" spans="1:19" x14ac:dyDescent="0.35">
      <c r="A79" s="54"/>
      <c r="B79" s="57"/>
      <c r="C79" s="60"/>
      <c r="D79" s="7" t="str">
        <f t="shared" si="7"/>
        <v/>
      </c>
      <c r="E79" s="63" t="str">
        <f>IF(OR(C79="",A79=""),"",IF(A79&lt;'Page de garde'!$G$7,IF(VALUE(RIGHT(C79,2))&lt;50,76,96),INDEX(EC!$C$2:$C$677,MATCH(C79,EC,0))))</f>
        <v/>
      </c>
      <c r="F79" s="33" t="str">
        <f t="shared" si="8"/>
        <v/>
      </c>
      <c r="G79" s="38"/>
      <c r="H79" s="38"/>
      <c r="I79" s="38"/>
      <c r="J79" s="36"/>
      <c r="K79" s="29"/>
      <c r="L79" s="29"/>
      <c r="M79" s="31"/>
      <c r="N79" s="39">
        <f t="shared" si="9"/>
        <v>0</v>
      </c>
      <c r="P79" s="4" t="str">
        <f t="shared" si="10"/>
        <v/>
      </c>
      <c r="Q79" s="4" t="str">
        <f t="shared" si="11"/>
        <v/>
      </c>
      <c r="R79" s="4" t="str">
        <f t="shared" si="12"/>
        <v>/</v>
      </c>
      <c r="S79" s="4" t="str">
        <f t="shared" si="13"/>
        <v/>
      </c>
    </row>
    <row r="80" spans="1:19" x14ac:dyDescent="0.35">
      <c r="A80" s="54"/>
      <c r="B80" s="57"/>
      <c r="C80" s="60"/>
      <c r="D80" s="7" t="str">
        <f t="shared" si="7"/>
        <v/>
      </c>
      <c r="E80" s="63" t="str">
        <f>IF(OR(C80="",A80=""),"",IF(A80&lt;'Page de garde'!$G$7,IF(VALUE(RIGHT(C80,2))&lt;50,76,96),INDEX(EC!$C$2:$C$677,MATCH(C80,EC,0))))</f>
        <v/>
      </c>
      <c r="F80" s="33" t="str">
        <f t="shared" si="8"/>
        <v/>
      </c>
      <c r="G80" s="38"/>
      <c r="H80" s="38"/>
      <c r="I80" s="38"/>
      <c r="J80" s="36"/>
      <c r="K80" s="29"/>
      <c r="L80" s="29"/>
      <c r="M80" s="31"/>
      <c r="N80" s="39">
        <f t="shared" si="9"/>
        <v>0</v>
      </c>
      <c r="P80" s="4" t="str">
        <f t="shared" si="10"/>
        <v/>
      </c>
      <c r="Q80" s="4" t="str">
        <f t="shared" si="11"/>
        <v/>
      </c>
      <c r="R80" s="4" t="str">
        <f t="shared" si="12"/>
        <v>/</v>
      </c>
      <c r="S80" s="4" t="str">
        <f t="shared" si="13"/>
        <v/>
      </c>
    </row>
    <row r="81" spans="1:19" x14ac:dyDescent="0.35">
      <c r="A81" s="54"/>
      <c r="B81" s="57"/>
      <c r="C81" s="60"/>
      <c r="D81" s="7" t="str">
        <f t="shared" si="7"/>
        <v/>
      </c>
      <c r="E81" s="63" t="str">
        <f>IF(OR(C81="",A81=""),"",IF(A81&lt;'Page de garde'!$G$7,IF(VALUE(RIGHT(C81,2))&lt;50,76,96),INDEX(EC!$C$2:$C$677,MATCH(C81,EC,0))))</f>
        <v/>
      </c>
      <c r="F81" s="33" t="str">
        <f t="shared" si="8"/>
        <v/>
      </c>
      <c r="G81" s="38"/>
      <c r="H81" s="38"/>
      <c r="I81" s="38"/>
      <c r="J81" s="36"/>
      <c r="K81" s="29"/>
      <c r="L81" s="29"/>
      <c r="M81" s="31"/>
      <c r="N81" s="39">
        <f t="shared" si="9"/>
        <v>0</v>
      </c>
      <c r="P81" s="4" t="str">
        <f t="shared" si="10"/>
        <v/>
      </c>
      <c r="Q81" s="4" t="str">
        <f t="shared" si="11"/>
        <v/>
      </c>
      <c r="R81" s="4" t="str">
        <f t="shared" si="12"/>
        <v>/</v>
      </c>
      <c r="S81" s="4" t="str">
        <f t="shared" si="13"/>
        <v/>
      </c>
    </row>
    <row r="82" spans="1:19" x14ac:dyDescent="0.35">
      <c r="A82" s="54"/>
      <c r="B82" s="57"/>
      <c r="C82" s="60"/>
      <c r="D82" s="7" t="str">
        <f t="shared" si="7"/>
        <v/>
      </c>
      <c r="E82" s="63" t="str">
        <f>IF(OR(C82="",A82=""),"",IF(A82&lt;'Page de garde'!$G$7,IF(VALUE(RIGHT(C82,2))&lt;50,76,96),INDEX(EC!$C$2:$C$677,MATCH(C82,EC,0))))</f>
        <v/>
      </c>
      <c r="F82" s="33" t="str">
        <f t="shared" si="8"/>
        <v/>
      </c>
      <c r="G82" s="38"/>
      <c r="H82" s="38"/>
      <c r="I82" s="38"/>
      <c r="J82" s="36"/>
      <c r="K82" s="29"/>
      <c r="L82" s="29"/>
      <c r="M82" s="31"/>
      <c r="N82" s="39">
        <f t="shared" si="9"/>
        <v>0</v>
      </c>
      <c r="P82" s="4" t="str">
        <f t="shared" si="10"/>
        <v/>
      </c>
      <c r="Q82" s="4" t="str">
        <f t="shared" si="11"/>
        <v/>
      </c>
      <c r="R82" s="4" t="str">
        <f t="shared" si="12"/>
        <v>/</v>
      </c>
      <c r="S82" s="4" t="str">
        <f t="shared" si="13"/>
        <v/>
      </c>
    </row>
    <row r="83" spans="1:19" x14ac:dyDescent="0.35">
      <c r="A83" s="54"/>
      <c r="B83" s="57"/>
      <c r="C83" s="60"/>
      <c r="D83" s="7" t="str">
        <f t="shared" si="7"/>
        <v/>
      </c>
      <c r="E83" s="63" t="str">
        <f>IF(OR(C83="",A83=""),"",IF(A83&lt;'Page de garde'!$G$7,IF(VALUE(RIGHT(C83,2))&lt;50,76,96),INDEX(EC!$C$2:$C$677,MATCH(C83,EC,0))))</f>
        <v/>
      </c>
      <c r="F83" s="33" t="str">
        <f t="shared" si="8"/>
        <v/>
      </c>
      <c r="G83" s="38"/>
      <c r="H83" s="38"/>
      <c r="I83" s="38"/>
      <c r="J83" s="36"/>
      <c r="K83" s="29"/>
      <c r="L83" s="29"/>
      <c r="M83" s="31"/>
      <c r="N83" s="39">
        <f t="shared" si="9"/>
        <v>0</v>
      </c>
      <c r="P83" s="4" t="str">
        <f t="shared" si="10"/>
        <v/>
      </c>
      <c r="Q83" s="4" t="str">
        <f t="shared" si="11"/>
        <v/>
      </c>
      <c r="R83" s="4" t="str">
        <f t="shared" si="12"/>
        <v>/</v>
      </c>
      <c r="S83" s="4" t="str">
        <f t="shared" si="13"/>
        <v/>
      </c>
    </row>
    <row r="84" spans="1:19" x14ac:dyDescent="0.35">
      <c r="A84" s="54"/>
      <c r="B84" s="57"/>
      <c r="C84" s="60"/>
      <c r="D84" s="7" t="str">
        <f t="shared" si="7"/>
        <v/>
      </c>
      <c r="E84" s="63" t="str">
        <f>IF(OR(C84="",A84=""),"",IF(A84&lt;'Page de garde'!$G$7,IF(VALUE(RIGHT(C84,2))&lt;50,76,96),INDEX(EC!$C$2:$C$677,MATCH(C84,EC,0))))</f>
        <v/>
      </c>
      <c r="F84" s="33" t="str">
        <f t="shared" si="8"/>
        <v/>
      </c>
      <c r="G84" s="38"/>
      <c r="H84" s="38"/>
      <c r="I84" s="38"/>
      <c r="J84" s="36"/>
      <c r="K84" s="29"/>
      <c r="L84" s="29"/>
      <c r="M84" s="31"/>
      <c r="N84" s="39">
        <f t="shared" si="9"/>
        <v>0</v>
      </c>
      <c r="P84" s="4" t="str">
        <f t="shared" si="10"/>
        <v/>
      </c>
      <c r="Q84" s="4" t="str">
        <f t="shared" si="11"/>
        <v/>
      </c>
      <c r="R84" s="4" t="str">
        <f t="shared" si="12"/>
        <v>/</v>
      </c>
      <c r="S84" s="4" t="str">
        <f t="shared" si="13"/>
        <v/>
      </c>
    </row>
    <row r="85" spans="1:19" x14ac:dyDescent="0.35">
      <c r="A85" s="54"/>
      <c r="B85" s="57"/>
      <c r="C85" s="60"/>
      <c r="D85" s="7" t="str">
        <f t="shared" si="7"/>
        <v/>
      </c>
      <c r="E85" s="63" t="str">
        <f>IF(OR(C85="",A85=""),"",IF(A85&lt;'Page de garde'!$G$7,IF(VALUE(RIGHT(C85,2))&lt;50,76,96),INDEX(EC!$C$2:$C$677,MATCH(C85,EC,0))))</f>
        <v/>
      </c>
      <c r="F85" s="33" t="str">
        <f t="shared" si="8"/>
        <v/>
      </c>
      <c r="G85" s="38"/>
      <c r="H85" s="38"/>
      <c r="I85" s="38"/>
      <c r="J85" s="36"/>
      <c r="K85" s="29"/>
      <c r="L85" s="29"/>
      <c r="M85" s="31"/>
      <c r="N85" s="39">
        <f t="shared" si="9"/>
        <v>0</v>
      </c>
      <c r="P85" s="4" t="str">
        <f t="shared" si="10"/>
        <v/>
      </c>
      <c r="Q85" s="4" t="str">
        <f t="shared" si="11"/>
        <v/>
      </c>
      <c r="R85" s="4" t="str">
        <f t="shared" si="12"/>
        <v>/</v>
      </c>
      <c r="S85" s="4" t="str">
        <f t="shared" si="13"/>
        <v/>
      </c>
    </row>
    <row r="86" spans="1:19" x14ac:dyDescent="0.35">
      <c r="A86" s="54"/>
      <c r="B86" s="57"/>
      <c r="C86" s="60"/>
      <c r="D86" s="7" t="str">
        <f t="shared" si="7"/>
        <v/>
      </c>
      <c r="E86" s="63" t="str">
        <f>IF(OR(C86="",A86=""),"",IF(A86&lt;'Page de garde'!$G$7,IF(VALUE(RIGHT(C86,2))&lt;50,76,96),INDEX(EC!$C$2:$C$677,MATCH(C86,EC,0))))</f>
        <v/>
      </c>
      <c r="F86" s="33" t="str">
        <f t="shared" si="8"/>
        <v/>
      </c>
      <c r="G86" s="38"/>
      <c r="H86" s="38"/>
      <c r="I86" s="38"/>
      <c r="J86" s="36"/>
      <c r="K86" s="29"/>
      <c r="L86" s="29"/>
      <c r="M86" s="31"/>
      <c r="N86" s="39">
        <f t="shared" si="9"/>
        <v>0</v>
      </c>
      <c r="P86" s="4" t="str">
        <f t="shared" si="10"/>
        <v/>
      </c>
      <c r="Q86" s="4" t="str">
        <f t="shared" si="11"/>
        <v/>
      </c>
      <c r="R86" s="4" t="str">
        <f t="shared" si="12"/>
        <v>/</v>
      </c>
      <c r="S86" s="4" t="str">
        <f t="shared" si="13"/>
        <v/>
      </c>
    </row>
    <row r="87" spans="1:19" x14ac:dyDescent="0.35">
      <c r="A87" s="54"/>
      <c r="B87" s="57"/>
      <c r="C87" s="60"/>
      <c r="D87" s="7" t="str">
        <f t="shared" si="7"/>
        <v/>
      </c>
      <c r="E87" s="63" t="str">
        <f>IF(OR(C87="",A87=""),"",IF(A87&lt;'Page de garde'!$G$7,IF(VALUE(RIGHT(C87,2))&lt;50,76,96),INDEX(EC!$C$2:$C$677,MATCH(C87,EC,0))))</f>
        <v/>
      </c>
      <c r="F87" s="33" t="str">
        <f t="shared" si="8"/>
        <v/>
      </c>
      <c r="G87" s="38"/>
      <c r="H87" s="38"/>
      <c r="I87" s="38"/>
      <c r="J87" s="36"/>
      <c r="K87" s="29"/>
      <c r="L87" s="29"/>
      <c r="M87" s="31"/>
      <c r="N87" s="39">
        <f t="shared" si="9"/>
        <v>0</v>
      </c>
      <c r="P87" s="4" t="str">
        <f t="shared" si="10"/>
        <v/>
      </c>
      <c r="Q87" s="4" t="str">
        <f t="shared" si="11"/>
        <v/>
      </c>
      <c r="R87" s="4" t="str">
        <f t="shared" si="12"/>
        <v>/</v>
      </c>
      <c r="S87" s="4" t="str">
        <f t="shared" si="13"/>
        <v/>
      </c>
    </row>
    <row r="88" spans="1:19" x14ac:dyDescent="0.35">
      <c r="A88" s="54"/>
      <c r="B88" s="57"/>
      <c r="C88" s="60"/>
      <c r="D88" s="7" t="str">
        <f t="shared" si="7"/>
        <v/>
      </c>
      <c r="E88" s="63" t="str">
        <f>IF(OR(C88="",A88=""),"",IF(A88&lt;'Page de garde'!$G$7,IF(VALUE(RIGHT(C88,2))&lt;50,76,96),INDEX(EC!$C$2:$C$677,MATCH(C88,EC,0))))</f>
        <v/>
      </c>
      <c r="F88" s="33" t="str">
        <f t="shared" si="8"/>
        <v/>
      </c>
      <c r="G88" s="38"/>
      <c r="H88" s="38"/>
      <c r="I88" s="38"/>
      <c r="J88" s="36"/>
      <c r="K88" s="29"/>
      <c r="L88" s="29"/>
      <c r="M88" s="31"/>
      <c r="N88" s="39">
        <f t="shared" si="9"/>
        <v>0</v>
      </c>
      <c r="P88" s="4" t="str">
        <f t="shared" si="10"/>
        <v/>
      </c>
      <c r="Q88" s="4" t="str">
        <f t="shared" si="11"/>
        <v/>
      </c>
      <c r="R88" s="4" t="str">
        <f t="shared" si="12"/>
        <v>/</v>
      </c>
      <c r="S88" s="4" t="str">
        <f t="shared" si="13"/>
        <v/>
      </c>
    </row>
    <row r="89" spans="1:19" x14ac:dyDescent="0.35">
      <c r="A89" s="54"/>
      <c r="B89" s="57"/>
      <c r="C89" s="60"/>
      <c r="D89" s="7" t="str">
        <f t="shared" si="7"/>
        <v/>
      </c>
      <c r="E89" s="63" t="str">
        <f>IF(OR(C89="",A89=""),"",IF(A89&lt;'Page de garde'!$G$7,IF(VALUE(RIGHT(C89,2))&lt;50,76,96),INDEX(EC!$C$2:$C$677,MATCH(C89,EC,0))))</f>
        <v/>
      </c>
      <c r="F89" s="33" t="str">
        <f t="shared" si="8"/>
        <v/>
      </c>
      <c r="G89" s="38"/>
      <c r="H89" s="38"/>
      <c r="I89" s="38"/>
      <c r="J89" s="36"/>
      <c r="K89" s="29"/>
      <c r="L89" s="29"/>
      <c r="M89" s="31"/>
      <c r="N89" s="39">
        <f t="shared" si="9"/>
        <v>0</v>
      </c>
      <c r="P89" s="4" t="str">
        <f t="shared" si="10"/>
        <v/>
      </c>
      <c r="Q89" s="4" t="str">
        <f t="shared" si="11"/>
        <v/>
      </c>
      <c r="R89" s="4" t="str">
        <f t="shared" si="12"/>
        <v>/</v>
      </c>
      <c r="S89" s="4" t="str">
        <f t="shared" si="13"/>
        <v/>
      </c>
    </row>
    <row r="90" spans="1:19" x14ac:dyDescent="0.35">
      <c r="A90" s="54"/>
      <c r="B90" s="57"/>
      <c r="C90" s="60"/>
      <c r="D90" s="7" t="str">
        <f t="shared" si="7"/>
        <v/>
      </c>
      <c r="E90" s="63" t="str">
        <f>IF(OR(C90="",A90=""),"",IF(A90&lt;'Page de garde'!$G$7,IF(VALUE(RIGHT(C90,2))&lt;50,76,96),INDEX(EC!$C$2:$C$677,MATCH(C90,EC,0))))</f>
        <v/>
      </c>
      <c r="F90" s="33" t="str">
        <f t="shared" si="8"/>
        <v/>
      </c>
      <c r="G90" s="38"/>
      <c r="H90" s="38"/>
      <c r="I90" s="38"/>
      <c r="J90" s="36"/>
      <c r="K90" s="29"/>
      <c r="L90" s="29"/>
      <c r="M90" s="31"/>
      <c r="N90" s="39">
        <f t="shared" si="9"/>
        <v>0</v>
      </c>
      <c r="P90" s="4" t="str">
        <f t="shared" si="10"/>
        <v/>
      </c>
      <c r="Q90" s="4" t="str">
        <f t="shared" si="11"/>
        <v/>
      </c>
      <c r="R90" s="4" t="str">
        <f t="shared" si="12"/>
        <v>/</v>
      </c>
      <c r="S90" s="4" t="str">
        <f t="shared" si="13"/>
        <v/>
      </c>
    </row>
    <row r="91" spans="1:19" x14ac:dyDescent="0.35">
      <c r="A91" s="54"/>
      <c r="B91" s="57"/>
      <c r="C91" s="60"/>
      <c r="D91" s="7" t="str">
        <f t="shared" si="7"/>
        <v/>
      </c>
      <c r="E91" s="63" t="str">
        <f>IF(OR(C91="",A91=""),"",IF(A91&lt;'Page de garde'!$G$7,IF(VALUE(RIGHT(C91,2))&lt;50,76,96),INDEX(EC!$C$2:$C$677,MATCH(C91,EC,0))))</f>
        <v/>
      </c>
      <c r="F91" s="33" t="str">
        <f t="shared" si="8"/>
        <v/>
      </c>
      <c r="G91" s="38"/>
      <c r="H91" s="38"/>
      <c r="I91" s="38"/>
      <c r="J91" s="36"/>
      <c r="K91" s="29"/>
      <c r="L91" s="29"/>
      <c r="M91" s="31"/>
      <c r="N91" s="39">
        <f t="shared" si="9"/>
        <v>0</v>
      </c>
      <c r="P91" s="4" t="str">
        <f t="shared" si="10"/>
        <v/>
      </c>
      <c r="Q91" s="4" t="str">
        <f t="shared" si="11"/>
        <v/>
      </c>
      <c r="R91" s="4" t="str">
        <f t="shared" si="12"/>
        <v>/</v>
      </c>
      <c r="S91" s="4" t="str">
        <f t="shared" si="13"/>
        <v/>
      </c>
    </row>
    <row r="92" spans="1:19" x14ac:dyDescent="0.35">
      <c r="A92" s="54"/>
      <c r="B92" s="57"/>
      <c r="C92" s="60"/>
      <c r="D92" s="7" t="str">
        <f t="shared" si="7"/>
        <v/>
      </c>
      <c r="E92" s="63" t="str">
        <f>IF(OR(C92="",A92=""),"",IF(A92&lt;'Page de garde'!$G$7,IF(VALUE(RIGHT(C92,2))&lt;50,76,96),INDEX(EC!$C$2:$C$677,MATCH(C92,EC,0))))</f>
        <v/>
      </c>
      <c r="F92" s="33" t="str">
        <f t="shared" si="8"/>
        <v/>
      </c>
      <c r="G92" s="38"/>
      <c r="H92" s="38"/>
      <c r="I92" s="38"/>
      <c r="J92" s="36"/>
      <c r="K92" s="29"/>
      <c r="L92" s="29"/>
      <c r="M92" s="31"/>
      <c r="N92" s="39">
        <f t="shared" si="9"/>
        <v>0</v>
      </c>
      <c r="P92" s="4" t="str">
        <f t="shared" si="10"/>
        <v/>
      </c>
      <c r="Q92" s="4" t="str">
        <f t="shared" si="11"/>
        <v/>
      </c>
      <c r="R92" s="4" t="str">
        <f t="shared" si="12"/>
        <v>/</v>
      </c>
      <c r="S92" s="4" t="str">
        <f t="shared" si="13"/>
        <v/>
      </c>
    </row>
    <row r="93" spans="1:19" x14ac:dyDescent="0.35">
      <c r="A93" s="54"/>
      <c r="B93" s="57"/>
      <c r="C93" s="60"/>
      <c r="D93" s="7" t="str">
        <f t="shared" si="7"/>
        <v/>
      </c>
      <c r="E93" s="63" t="str">
        <f>IF(OR(C93="",A93=""),"",IF(A93&lt;'Page de garde'!$G$7,IF(VALUE(RIGHT(C93,2))&lt;50,76,96),INDEX(EC!$C$2:$C$677,MATCH(C93,EC,0))))</f>
        <v/>
      </c>
      <c r="F93" s="33" t="str">
        <f t="shared" si="8"/>
        <v/>
      </c>
      <c r="G93" s="38"/>
      <c r="H93" s="38"/>
      <c r="I93" s="38"/>
      <c r="J93" s="36"/>
      <c r="K93" s="29"/>
      <c r="L93" s="29"/>
      <c r="M93" s="31"/>
      <c r="N93" s="39">
        <f t="shared" si="9"/>
        <v>0</v>
      </c>
      <c r="P93" s="4" t="str">
        <f t="shared" si="10"/>
        <v/>
      </c>
      <c r="Q93" s="4" t="str">
        <f t="shared" si="11"/>
        <v/>
      </c>
      <c r="R93" s="4" t="str">
        <f t="shared" si="12"/>
        <v>/</v>
      </c>
      <c r="S93" s="4" t="str">
        <f t="shared" si="13"/>
        <v/>
      </c>
    </row>
    <row r="94" spans="1:19" x14ac:dyDescent="0.35">
      <c r="A94" s="54"/>
      <c r="B94" s="57"/>
      <c r="C94" s="60"/>
      <c r="D94" s="7" t="str">
        <f t="shared" si="7"/>
        <v/>
      </c>
      <c r="E94" s="63" t="str">
        <f>IF(OR(C94="",A94=""),"",IF(A94&lt;'Page de garde'!$G$7,IF(VALUE(RIGHT(C94,2))&lt;50,76,96),INDEX(EC!$C$2:$C$677,MATCH(C94,EC,0))))</f>
        <v/>
      </c>
      <c r="F94" s="33" t="str">
        <f t="shared" si="8"/>
        <v/>
      </c>
      <c r="G94" s="38"/>
      <c r="H94" s="38"/>
      <c r="I94" s="38"/>
      <c r="J94" s="36"/>
      <c r="K94" s="29"/>
      <c r="L94" s="29"/>
      <c r="M94" s="31"/>
      <c r="N94" s="39">
        <f t="shared" si="9"/>
        <v>0</v>
      </c>
      <c r="P94" s="4" t="str">
        <f t="shared" si="10"/>
        <v/>
      </c>
      <c r="Q94" s="4" t="str">
        <f t="shared" si="11"/>
        <v/>
      </c>
      <c r="R94" s="4" t="str">
        <f t="shared" si="12"/>
        <v>/</v>
      </c>
      <c r="S94" s="4" t="str">
        <f t="shared" si="13"/>
        <v/>
      </c>
    </row>
    <row r="95" spans="1:19" x14ac:dyDescent="0.35">
      <c r="A95" s="54"/>
      <c r="B95" s="57"/>
      <c r="C95" s="60"/>
      <c r="D95" s="7" t="str">
        <f t="shared" si="7"/>
        <v/>
      </c>
      <c r="E95" s="63" t="str">
        <f>IF(OR(C95="",A95=""),"",IF(A95&lt;'Page de garde'!$G$7,IF(VALUE(RIGHT(C95,2))&lt;50,76,96),INDEX(EC!$C$2:$C$677,MATCH(C95,EC,0))))</f>
        <v/>
      </c>
      <c r="F95" s="33" t="str">
        <f t="shared" si="8"/>
        <v/>
      </c>
      <c r="G95" s="38"/>
      <c r="H95" s="38"/>
      <c r="I95" s="38"/>
      <c r="J95" s="36"/>
      <c r="K95" s="29"/>
      <c r="L95" s="29"/>
      <c r="M95" s="31"/>
      <c r="N95" s="39">
        <f t="shared" si="9"/>
        <v>0</v>
      </c>
      <c r="P95" s="4" t="str">
        <f t="shared" si="10"/>
        <v/>
      </c>
      <c r="Q95" s="4" t="str">
        <f t="shared" si="11"/>
        <v/>
      </c>
      <c r="R95" s="4" t="str">
        <f t="shared" si="12"/>
        <v>/</v>
      </c>
      <c r="S95" s="4" t="str">
        <f t="shared" si="13"/>
        <v/>
      </c>
    </row>
    <row r="96" spans="1:19" x14ac:dyDescent="0.35">
      <c r="A96" s="54"/>
      <c r="B96" s="57"/>
      <c r="C96" s="60"/>
      <c r="D96" s="7" t="str">
        <f t="shared" si="7"/>
        <v/>
      </c>
      <c r="E96" s="63" t="str">
        <f>IF(OR(C96="",A96=""),"",IF(A96&lt;'Page de garde'!$G$7,IF(VALUE(RIGHT(C96,2))&lt;50,76,96),INDEX(EC!$C$2:$C$677,MATCH(C96,EC,0))))</f>
        <v/>
      </c>
      <c r="F96" s="33" t="str">
        <f t="shared" si="8"/>
        <v/>
      </c>
      <c r="G96" s="38"/>
      <c r="H96" s="38"/>
      <c r="I96" s="38"/>
      <c r="J96" s="36"/>
      <c r="K96" s="29"/>
      <c r="L96" s="29"/>
      <c r="M96" s="31"/>
      <c r="N96" s="39">
        <f t="shared" si="9"/>
        <v>0</v>
      </c>
      <c r="P96" s="4" t="str">
        <f t="shared" si="10"/>
        <v/>
      </c>
      <c r="Q96" s="4" t="str">
        <f t="shared" si="11"/>
        <v/>
      </c>
      <c r="R96" s="4" t="str">
        <f t="shared" si="12"/>
        <v>/</v>
      </c>
      <c r="S96" s="4" t="str">
        <f t="shared" si="13"/>
        <v/>
      </c>
    </row>
    <row r="97" spans="1:19" x14ac:dyDescent="0.35">
      <c r="A97" s="54"/>
      <c r="B97" s="57"/>
      <c r="C97" s="60"/>
      <c r="D97" s="7" t="str">
        <f t="shared" si="7"/>
        <v/>
      </c>
      <c r="E97" s="63" t="str">
        <f>IF(OR(C97="",A97=""),"",IF(A97&lt;'Page de garde'!$G$7,IF(VALUE(RIGHT(C97,2))&lt;50,76,96),INDEX(EC!$C$2:$C$677,MATCH(C97,EC,0))))</f>
        <v/>
      </c>
      <c r="F97" s="33" t="str">
        <f t="shared" si="8"/>
        <v/>
      </c>
      <c r="G97" s="38"/>
      <c r="H97" s="38"/>
      <c r="I97" s="38"/>
      <c r="J97" s="36"/>
      <c r="K97" s="29"/>
      <c r="L97" s="29"/>
      <c r="M97" s="31"/>
      <c r="N97" s="39">
        <f t="shared" si="9"/>
        <v>0</v>
      </c>
      <c r="P97" s="4" t="str">
        <f t="shared" si="10"/>
        <v/>
      </c>
      <c r="Q97" s="4" t="str">
        <f t="shared" si="11"/>
        <v/>
      </c>
      <c r="R97" s="4" t="str">
        <f t="shared" si="12"/>
        <v>/</v>
      </c>
      <c r="S97" s="4" t="str">
        <f t="shared" si="13"/>
        <v/>
      </c>
    </row>
    <row r="98" spans="1:19" x14ac:dyDescent="0.35">
      <c r="A98" s="54"/>
      <c r="B98" s="57"/>
      <c r="C98" s="60"/>
      <c r="D98" s="7" t="str">
        <f t="shared" si="7"/>
        <v/>
      </c>
      <c r="E98" s="63" t="str">
        <f>IF(OR(C98="",A98=""),"",IF(A98&lt;'Page de garde'!$G$7,IF(VALUE(RIGHT(C98,2))&lt;50,76,96),INDEX(EC!$C$2:$C$677,MATCH(C98,EC,0))))</f>
        <v/>
      </c>
      <c r="F98" s="33" t="str">
        <f t="shared" si="8"/>
        <v/>
      </c>
      <c r="G98" s="38"/>
      <c r="H98" s="38"/>
      <c r="I98" s="38"/>
      <c r="J98" s="36"/>
      <c r="K98" s="29"/>
      <c r="L98" s="29"/>
      <c r="M98" s="31"/>
      <c r="N98" s="39">
        <f t="shared" si="9"/>
        <v>0</v>
      </c>
      <c r="P98" s="4" t="str">
        <f t="shared" si="10"/>
        <v/>
      </c>
      <c r="Q98" s="4" t="str">
        <f t="shared" si="11"/>
        <v/>
      </c>
      <c r="R98" s="4" t="str">
        <f t="shared" si="12"/>
        <v>/</v>
      </c>
      <c r="S98" s="4" t="str">
        <f t="shared" si="13"/>
        <v/>
      </c>
    </row>
    <row r="99" spans="1:19" x14ac:dyDescent="0.35">
      <c r="A99" s="54"/>
      <c r="B99" s="57"/>
      <c r="C99" s="60"/>
      <c r="D99" s="7" t="str">
        <f t="shared" si="7"/>
        <v/>
      </c>
      <c r="E99" s="63" t="str">
        <f>IF(OR(C99="",A99=""),"",IF(A99&lt;'Page de garde'!$G$7,IF(VALUE(RIGHT(C99,2))&lt;50,76,96),INDEX(EC!$C$2:$C$677,MATCH(C99,EC,0))))</f>
        <v/>
      </c>
      <c r="F99" s="33" t="str">
        <f t="shared" si="8"/>
        <v/>
      </c>
      <c r="G99" s="38"/>
      <c r="H99" s="38"/>
      <c r="I99" s="38"/>
      <c r="J99" s="36"/>
      <c r="K99" s="29"/>
      <c r="L99" s="29"/>
      <c r="M99" s="31"/>
      <c r="N99" s="39">
        <f t="shared" si="9"/>
        <v>0</v>
      </c>
      <c r="P99" s="4" t="str">
        <f t="shared" si="10"/>
        <v/>
      </c>
      <c r="Q99" s="4" t="str">
        <f t="shared" si="11"/>
        <v/>
      </c>
      <c r="R99" s="4" t="str">
        <f t="shared" si="12"/>
        <v>/</v>
      </c>
      <c r="S99" s="4" t="str">
        <f t="shared" si="13"/>
        <v/>
      </c>
    </row>
    <row r="100" spans="1:19" x14ac:dyDescent="0.35">
      <c r="A100" s="54"/>
      <c r="B100" s="57"/>
      <c r="C100" s="60"/>
      <c r="D100" s="7" t="str">
        <f t="shared" si="7"/>
        <v/>
      </c>
      <c r="E100" s="63" t="str">
        <f>IF(OR(C100="",A100=""),"",IF(A100&lt;'Page de garde'!$G$7,IF(VALUE(RIGHT(C100,2))&lt;50,76,96),INDEX(EC!$C$2:$C$677,MATCH(C100,EC,0))))</f>
        <v/>
      </c>
      <c r="F100" s="33" t="str">
        <f t="shared" si="8"/>
        <v/>
      </c>
      <c r="G100" s="38"/>
      <c r="H100" s="38"/>
      <c r="I100" s="38"/>
      <c r="J100" s="36"/>
      <c r="K100" s="29"/>
      <c r="L100" s="29"/>
      <c r="M100" s="31"/>
      <c r="N100" s="39">
        <f t="shared" si="9"/>
        <v>0</v>
      </c>
      <c r="P100" s="4" t="str">
        <f t="shared" si="10"/>
        <v/>
      </c>
      <c r="Q100" s="4" t="str">
        <f t="shared" si="11"/>
        <v/>
      </c>
      <c r="R100" s="4" t="str">
        <f t="shared" si="12"/>
        <v>/</v>
      </c>
      <c r="S100" s="4" t="str">
        <f t="shared" si="13"/>
        <v/>
      </c>
    </row>
    <row r="101" spans="1:19" x14ac:dyDescent="0.35">
      <c r="A101" s="54"/>
      <c r="B101" s="57"/>
      <c r="C101" s="60"/>
      <c r="D101" s="7" t="str">
        <f t="shared" si="7"/>
        <v/>
      </c>
      <c r="E101" s="63" t="str">
        <f>IF(OR(C101="",A101=""),"",IF(A101&lt;'Page de garde'!$G$7,IF(VALUE(RIGHT(C101,2))&lt;50,76,96),INDEX(EC!$C$2:$C$677,MATCH(C101,EC,0))))</f>
        <v/>
      </c>
      <c r="F101" s="33" t="str">
        <f t="shared" si="8"/>
        <v/>
      </c>
      <c r="G101" s="38"/>
      <c r="H101" s="38"/>
      <c r="I101" s="38"/>
      <c r="J101" s="36"/>
      <c r="K101" s="29"/>
      <c r="L101" s="29"/>
      <c r="M101" s="31"/>
      <c r="N101" s="39">
        <f t="shared" si="9"/>
        <v>0</v>
      </c>
      <c r="P101" s="4" t="str">
        <f t="shared" si="10"/>
        <v/>
      </c>
      <c r="Q101" s="4" t="str">
        <f t="shared" si="11"/>
        <v/>
      </c>
      <c r="R101" s="4" t="str">
        <f t="shared" si="12"/>
        <v>/</v>
      </c>
      <c r="S101" s="4" t="str">
        <f t="shared" si="13"/>
        <v/>
      </c>
    </row>
    <row r="102" spans="1:19" x14ac:dyDescent="0.35">
      <c r="A102" s="54"/>
      <c r="B102" s="57"/>
      <c r="C102" s="60"/>
      <c r="D102" s="7" t="str">
        <f t="shared" si="7"/>
        <v/>
      </c>
      <c r="E102" s="63" t="str">
        <f>IF(OR(C102="",A102=""),"",IF(A102&lt;'Page de garde'!$G$7,IF(VALUE(RIGHT(C102,2))&lt;50,76,96),INDEX(EC!$C$2:$C$677,MATCH(C102,EC,0))))</f>
        <v/>
      </c>
      <c r="F102" s="33" t="str">
        <f t="shared" si="8"/>
        <v/>
      </c>
      <c r="G102" s="38"/>
      <c r="H102" s="38"/>
      <c r="I102" s="38"/>
      <c r="J102" s="36"/>
      <c r="K102" s="29"/>
      <c r="L102" s="29"/>
      <c r="M102" s="31"/>
      <c r="N102" s="39">
        <f t="shared" si="9"/>
        <v>0</v>
      </c>
      <c r="P102" s="4" t="str">
        <f t="shared" si="10"/>
        <v/>
      </c>
      <c r="Q102" s="4" t="str">
        <f t="shared" si="11"/>
        <v/>
      </c>
      <c r="R102" s="4" t="str">
        <f t="shared" si="12"/>
        <v>/</v>
      </c>
      <c r="S102" s="4" t="str">
        <f t="shared" si="13"/>
        <v/>
      </c>
    </row>
    <row r="103" spans="1:19" x14ac:dyDescent="0.35">
      <c r="A103" s="54"/>
      <c r="B103" s="57"/>
      <c r="C103" s="60"/>
      <c r="D103" s="7" t="str">
        <f t="shared" si="7"/>
        <v/>
      </c>
      <c r="E103" s="63" t="str">
        <f>IF(OR(C103="",A103=""),"",IF(A103&lt;'Page de garde'!$G$7,IF(VALUE(RIGHT(C103,2))&lt;50,76,96),INDEX(EC!$C$2:$C$677,MATCH(C103,EC,0))))</f>
        <v/>
      </c>
      <c r="F103" s="33" t="str">
        <f t="shared" si="8"/>
        <v/>
      </c>
      <c r="G103" s="38"/>
      <c r="H103" s="38"/>
      <c r="I103" s="38"/>
      <c r="J103" s="36"/>
      <c r="K103" s="29"/>
      <c r="L103" s="29"/>
      <c r="M103" s="31"/>
      <c r="N103" s="39">
        <f t="shared" si="9"/>
        <v>0</v>
      </c>
      <c r="P103" s="4" t="str">
        <f t="shared" si="10"/>
        <v/>
      </c>
      <c r="Q103" s="4" t="str">
        <f t="shared" si="11"/>
        <v/>
      </c>
      <c r="R103" s="4" t="str">
        <f t="shared" si="12"/>
        <v>/</v>
      </c>
      <c r="S103" s="4" t="str">
        <f t="shared" si="13"/>
        <v/>
      </c>
    </row>
    <row r="104" spans="1:19" x14ac:dyDescent="0.35">
      <c r="A104" s="54"/>
      <c r="B104" s="57"/>
      <c r="C104" s="60"/>
      <c r="D104" s="7" t="str">
        <f t="shared" si="7"/>
        <v/>
      </c>
      <c r="E104" s="63" t="str">
        <f>IF(OR(C104="",A104=""),"",IF(A104&lt;'Page de garde'!$G$7,IF(VALUE(RIGHT(C104,2))&lt;50,76,96),INDEX(EC!$C$2:$C$677,MATCH(C104,EC,0))))</f>
        <v/>
      </c>
      <c r="F104" s="33" t="str">
        <f t="shared" si="8"/>
        <v/>
      </c>
      <c r="G104" s="38"/>
      <c r="H104" s="38"/>
      <c r="I104" s="38"/>
      <c r="J104" s="36"/>
      <c r="K104" s="29"/>
      <c r="L104" s="29"/>
      <c r="M104" s="31"/>
      <c r="N104" s="39">
        <f t="shared" si="9"/>
        <v>0</v>
      </c>
      <c r="P104" s="4" t="str">
        <f t="shared" si="10"/>
        <v/>
      </c>
      <c r="Q104" s="4" t="str">
        <f t="shared" si="11"/>
        <v/>
      </c>
      <c r="R104" s="4" t="str">
        <f t="shared" si="12"/>
        <v>/</v>
      </c>
      <c r="S104" s="4" t="str">
        <f t="shared" si="13"/>
        <v/>
      </c>
    </row>
    <row r="105" spans="1:19" x14ac:dyDescent="0.35">
      <c r="A105" s="54"/>
      <c r="B105" s="57"/>
      <c r="C105" s="60"/>
      <c r="D105" s="7" t="str">
        <f t="shared" si="7"/>
        <v/>
      </c>
      <c r="E105" s="63" t="str">
        <f>IF(OR(C105="",A105=""),"",IF(A105&lt;'Page de garde'!$G$7,IF(VALUE(RIGHT(C105,2))&lt;50,76,96),INDEX(EC!$C$2:$C$677,MATCH(C105,EC,0))))</f>
        <v/>
      </c>
      <c r="F105" s="33" t="str">
        <f t="shared" si="8"/>
        <v/>
      </c>
      <c r="G105" s="38"/>
      <c r="H105" s="38"/>
      <c r="I105" s="38"/>
      <c r="J105" s="36"/>
      <c r="K105" s="29"/>
      <c r="L105" s="29"/>
      <c r="M105" s="31"/>
      <c r="N105" s="39">
        <f t="shared" si="9"/>
        <v>0</v>
      </c>
      <c r="P105" s="4" t="str">
        <f t="shared" si="10"/>
        <v/>
      </c>
      <c r="Q105" s="4" t="str">
        <f t="shared" si="11"/>
        <v/>
      </c>
      <c r="R105" s="4" t="str">
        <f t="shared" si="12"/>
        <v>/</v>
      </c>
      <c r="S105" s="4" t="str">
        <f t="shared" si="13"/>
        <v/>
      </c>
    </row>
    <row r="106" spans="1:19" x14ac:dyDescent="0.35">
      <c r="A106" s="54"/>
      <c r="B106" s="57"/>
      <c r="C106" s="60"/>
      <c r="D106" s="7" t="str">
        <f t="shared" si="7"/>
        <v/>
      </c>
      <c r="E106" s="63" t="str">
        <f>IF(OR(C106="",A106=""),"",IF(A106&lt;'Page de garde'!$G$7,IF(VALUE(RIGHT(C106,2))&lt;50,76,96),INDEX(EC!$C$2:$C$677,MATCH(C106,EC,0))))</f>
        <v/>
      </c>
      <c r="F106" s="33" t="str">
        <f t="shared" si="8"/>
        <v/>
      </c>
      <c r="G106" s="38"/>
      <c r="H106" s="38"/>
      <c r="I106" s="38"/>
      <c r="J106" s="36"/>
      <c r="K106" s="29"/>
      <c r="L106" s="29"/>
      <c r="M106" s="31"/>
      <c r="N106" s="39">
        <f t="shared" si="9"/>
        <v>0</v>
      </c>
      <c r="P106" s="4" t="str">
        <f t="shared" si="10"/>
        <v/>
      </c>
      <c r="Q106" s="4" t="str">
        <f t="shared" si="11"/>
        <v/>
      </c>
      <c r="R106" s="4" t="str">
        <f t="shared" si="12"/>
        <v>/</v>
      </c>
      <c r="S106" s="4" t="str">
        <f t="shared" si="13"/>
        <v/>
      </c>
    </row>
    <row r="107" spans="1:19" x14ac:dyDescent="0.35">
      <c r="A107" s="54"/>
      <c r="B107" s="57"/>
      <c r="C107" s="60"/>
      <c r="D107" s="7" t="str">
        <f t="shared" si="7"/>
        <v/>
      </c>
      <c r="E107" s="63" t="str">
        <f>IF(OR(C107="",A107=""),"",IF(A107&lt;'Page de garde'!$G$7,IF(VALUE(RIGHT(C107,2))&lt;50,76,96),INDEX(EC!$C$2:$C$677,MATCH(C107,EC,0))))</f>
        <v/>
      </c>
      <c r="F107" s="33" t="str">
        <f t="shared" si="8"/>
        <v/>
      </c>
      <c r="G107" s="38"/>
      <c r="H107" s="38"/>
      <c r="I107" s="38"/>
      <c r="J107" s="36"/>
      <c r="K107" s="29"/>
      <c r="L107" s="29"/>
      <c r="M107" s="31"/>
      <c r="N107" s="39">
        <f t="shared" si="9"/>
        <v>0</v>
      </c>
      <c r="P107" s="4" t="str">
        <f t="shared" si="10"/>
        <v/>
      </c>
      <c r="Q107" s="4" t="str">
        <f t="shared" si="11"/>
        <v/>
      </c>
      <c r="R107" s="4" t="str">
        <f t="shared" si="12"/>
        <v>/</v>
      </c>
      <c r="S107" s="4" t="str">
        <f t="shared" si="13"/>
        <v/>
      </c>
    </row>
    <row r="108" spans="1:19" x14ac:dyDescent="0.35">
      <c r="A108" s="54"/>
      <c r="B108" s="57"/>
      <c r="C108" s="60"/>
      <c r="D108" s="7" t="str">
        <f t="shared" si="7"/>
        <v/>
      </c>
      <c r="E108" s="63" t="str">
        <f>IF(OR(C108="",A108=""),"",IF(A108&lt;'Page de garde'!$G$7,IF(VALUE(RIGHT(C108,2))&lt;50,76,96),INDEX(EC!$C$2:$C$677,MATCH(C108,EC,0))))</f>
        <v/>
      </c>
      <c r="F108" s="33" t="str">
        <f t="shared" si="8"/>
        <v/>
      </c>
      <c r="G108" s="38"/>
      <c r="H108" s="38"/>
      <c r="I108" s="38"/>
      <c r="J108" s="36"/>
      <c r="K108" s="29"/>
      <c r="L108" s="29"/>
      <c r="M108" s="31"/>
      <c r="N108" s="39">
        <f t="shared" si="9"/>
        <v>0</v>
      </c>
      <c r="P108" s="4" t="str">
        <f t="shared" si="10"/>
        <v/>
      </c>
      <c r="Q108" s="4" t="str">
        <f t="shared" si="11"/>
        <v/>
      </c>
      <c r="R108" s="4" t="str">
        <f t="shared" si="12"/>
        <v>/</v>
      </c>
      <c r="S108" s="4" t="str">
        <f t="shared" si="13"/>
        <v/>
      </c>
    </row>
    <row r="109" spans="1:19" x14ac:dyDescent="0.35">
      <c r="A109" s="54"/>
      <c r="B109" s="57"/>
      <c r="C109" s="60"/>
      <c r="D109" s="7" t="str">
        <f t="shared" si="7"/>
        <v/>
      </c>
      <c r="E109" s="63" t="str">
        <f>IF(OR(C109="",A109=""),"",IF(A109&lt;'Page de garde'!$G$7,IF(VALUE(RIGHT(C109,2))&lt;50,76,96),INDEX(EC!$C$2:$C$677,MATCH(C109,EC,0))))</f>
        <v/>
      </c>
      <c r="F109" s="33" t="str">
        <f t="shared" si="8"/>
        <v/>
      </c>
      <c r="G109" s="38"/>
      <c r="H109" s="38"/>
      <c r="I109" s="38"/>
      <c r="J109" s="36"/>
      <c r="K109" s="29"/>
      <c r="L109" s="29"/>
      <c r="M109" s="31"/>
      <c r="N109" s="39">
        <f t="shared" si="9"/>
        <v>0</v>
      </c>
      <c r="P109" s="4" t="str">
        <f t="shared" si="10"/>
        <v/>
      </c>
      <c r="Q109" s="4" t="str">
        <f t="shared" si="11"/>
        <v/>
      </c>
      <c r="R109" s="4" t="str">
        <f t="shared" si="12"/>
        <v>/</v>
      </c>
      <c r="S109" s="4" t="str">
        <f t="shared" si="13"/>
        <v/>
      </c>
    </row>
    <row r="110" spans="1:19" x14ac:dyDescent="0.35">
      <c r="A110" s="54"/>
      <c r="B110" s="57"/>
      <c r="C110" s="60"/>
      <c r="D110" s="7" t="str">
        <f t="shared" si="7"/>
        <v/>
      </c>
      <c r="E110" s="63" t="str">
        <f>IF(OR(C110="",A110=""),"",IF(A110&lt;'Page de garde'!$G$7,IF(VALUE(RIGHT(C110,2))&lt;50,76,96),INDEX(EC!$C$2:$C$677,MATCH(C110,EC,0))))</f>
        <v/>
      </c>
      <c r="F110" s="33" t="str">
        <f t="shared" si="8"/>
        <v/>
      </c>
      <c r="G110" s="38"/>
      <c r="H110" s="38"/>
      <c r="I110" s="38"/>
      <c r="J110" s="36"/>
      <c r="K110" s="29"/>
      <c r="L110" s="29"/>
      <c r="M110" s="31"/>
      <c r="N110" s="39">
        <f t="shared" si="9"/>
        <v>0</v>
      </c>
      <c r="P110" s="4" t="str">
        <f t="shared" si="10"/>
        <v/>
      </c>
      <c r="Q110" s="4" t="str">
        <f t="shared" si="11"/>
        <v/>
      </c>
      <c r="R110" s="4" t="str">
        <f t="shared" si="12"/>
        <v>/</v>
      </c>
      <c r="S110" s="4" t="str">
        <f t="shared" si="13"/>
        <v/>
      </c>
    </row>
    <row r="111" spans="1:19" x14ac:dyDescent="0.35">
      <c r="A111" s="54"/>
      <c r="B111" s="57"/>
      <c r="C111" s="60"/>
      <c r="D111" s="7" t="str">
        <f t="shared" si="7"/>
        <v/>
      </c>
      <c r="E111" s="63" t="str">
        <f>IF(OR(C111="",A111=""),"",IF(A111&lt;'Page de garde'!$G$7,IF(VALUE(RIGHT(C111,2))&lt;50,76,96),INDEX(EC!$C$2:$C$677,MATCH(C111,EC,0))))</f>
        <v/>
      </c>
      <c r="F111" s="33" t="str">
        <f t="shared" si="8"/>
        <v/>
      </c>
      <c r="G111" s="38"/>
      <c r="H111" s="38"/>
      <c r="I111" s="38"/>
      <c r="J111" s="36"/>
      <c r="K111" s="29"/>
      <c r="L111" s="29"/>
      <c r="M111" s="31"/>
      <c r="N111" s="39">
        <f t="shared" si="9"/>
        <v>0</v>
      </c>
      <c r="P111" s="4" t="str">
        <f t="shared" si="10"/>
        <v/>
      </c>
      <c r="Q111" s="4" t="str">
        <f t="shared" si="11"/>
        <v/>
      </c>
      <c r="R111" s="4" t="str">
        <f t="shared" si="12"/>
        <v>/</v>
      </c>
      <c r="S111" s="4" t="str">
        <f t="shared" si="13"/>
        <v/>
      </c>
    </row>
    <row r="112" spans="1:19" x14ac:dyDescent="0.35">
      <c r="A112" s="54"/>
      <c r="B112" s="57"/>
      <c r="C112" s="60"/>
      <c r="D112" s="7" t="str">
        <f t="shared" si="7"/>
        <v/>
      </c>
      <c r="E112" s="63" t="str">
        <f>IF(OR(C112="",A112=""),"",IF(A112&lt;'Page de garde'!$G$7,IF(VALUE(RIGHT(C112,2))&lt;50,76,96),INDEX(EC!$C$2:$C$677,MATCH(C112,EC,0))))</f>
        <v/>
      </c>
      <c r="F112" s="33" t="str">
        <f t="shared" si="8"/>
        <v/>
      </c>
      <c r="G112" s="38"/>
      <c r="H112" s="38"/>
      <c r="I112" s="38"/>
      <c r="J112" s="36"/>
      <c r="K112" s="29"/>
      <c r="L112" s="29"/>
      <c r="M112" s="31"/>
      <c r="N112" s="39">
        <f t="shared" si="9"/>
        <v>0</v>
      </c>
      <c r="P112" s="4" t="str">
        <f t="shared" si="10"/>
        <v/>
      </c>
      <c r="Q112" s="4" t="str">
        <f t="shared" si="11"/>
        <v/>
      </c>
      <c r="R112" s="4" t="str">
        <f t="shared" si="12"/>
        <v>/</v>
      </c>
      <c r="S112" s="4" t="str">
        <f t="shared" si="13"/>
        <v/>
      </c>
    </row>
    <row r="113" spans="1:19" x14ac:dyDescent="0.35">
      <c r="A113" s="54"/>
      <c r="B113" s="57"/>
      <c r="C113" s="60"/>
      <c r="D113" s="7" t="str">
        <f t="shared" si="7"/>
        <v/>
      </c>
      <c r="E113" s="63" t="str">
        <f>IF(OR(C113="",A113=""),"",IF(A113&lt;'Page de garde'!$G$7,IF(VALUE(RIGHT(C113,2))&lt;50,76,96),INDEX(EC!$C$2:$C$677,MATCH(C113,EC,0))))</f>
        <v/>
      </c>
      <c r="F113" s="33" t="str">
        <f t="shared" si="8"/>
        <v/>
      </c>
      <c r="G113" s="38"/>
      <c r="H113" s="38"/>
      <c r="I113" s="38"/>
      <c r="J113" s="36"/>
      <c r="K113" s="29"/>
      <c r="L113" s="29"/>
      <c r="M113" s="31"/>
      <c r="N113" s="39">
        <f t="shared" si="9"/>
        <v>0</v>
      </c>
      <c r="P113" s="4" t="str">
        <f t="shared" si="10"/>
        <v/>
      </c>
      <c r="Q113" s="4" t="str">
        <f t="shared" si="11"/>
        <v/>
      </c>
      <c r="R113" s="4" t="str">
        <f t="shared" si="12"/>
        <v>/</v>
      </c>
      <c r="S113" s="4" t="str">
        <f t="shared" si="13"/>
        <v/>
      </c>
    </row>
    <row r="114" spans="1:19" x14ac:dyDescent="0.35">
      <c r="A114" s="54"/>
      <c r="B114" s="57"/>
      <c r="C114" s="60"/>
      <c r="D114" s="7" t="str">
        <f t="shared" si="7"/>
        <v/>
      </c>
      <c r="E114" s="63" t="str">
        <f>IF(OR(C114="",A114=""),"",IF(A114&lt;'Page de garde'!$G$7,IF(VALUE(RIGHT(C114,2))&lt;50,76,96),INDEX(EC!$C$2:$C$677,MATCH(C114,EC,0))))</f>
        <v/>
      </c>
      <c r="F114" s="33" t="str">
        <f t="shared" si="8"/>
        <v/>
      </c>
      <c r="G114" s="38"/>
      <c r="H114" s="38"/>
      <c r="I114" s="38"/>
      <c r="J114" s="36"/>
      <c r="K114" s="29"/>
      <c r="L114" s="29"/>
      <c r="M114" s="31"/>
      <c r="N114" s="39">
        <f t="shared" si="9"/>
        <v>0</v>
      </c>
      <c r="P114" s="4" t="str">
        <f t="shared" si="10"/>
        <v/>
      </c>
      <c r="Q114" s="4" t="str">
        <f t="shared" si="11"/>
        <v/>
      </c>
      <c r="R114" s="4" t="str">
        <f t="shared" si="12"/>
        <v>/</v>
      </c>
      <c r="S114" s="4" t="str">
        <f t="shared" si="13"/>
        <v/>
      </c>
    </row>
    <row r="115" spans="1:19" x14ac:dyDescent="0.35">
      <c r="A115" s="54"/>
      <c r="B115" s="57"/>
      <c r="C115" s="60"/>
      <c r="D115" s="7" t="str">
        <f t="shared" si="7"/>
        <v/>
      </c>
      <c r="E115" s="63" t="str">
        <f>IF(OR(C115="",A115=""),"",IF(A115&lt;'Page de garde'!$G$7,IF(VALUE(RIGHT(C115,2))&lt;50,76,96),INDEX(EC!$C$2:$C$677,MATCH(C115,EC,0))))</f>
        <v/>
      </c>
      <c r="F115" s="33" t="str">
        <f t="shared" si="8"/>
        <v/>
      </c>
      <c r="G115" s="38"/>
      <c r="H115" s="38"/>
      <c r="I115" s="38"/>
      <c r="J115" s="36"/>
      <c r="K115" s="29"/>
      <c r="L115" s="29"/>
      <c r="M115" s="31"/>
      <c r="N115" s="39">
        <f t="shared" si="9"/>
        <v>0</v>
      </c>
      <c r="P115" s="4" t="str">
        <f t="shared" si="10"/>
        <v/>
      </c>
      <c r="Q115" s="4" t="str">
        <f t="shared" si="11"/>
        <v/>
      </c>
      <c r="R115" s="4" t="str">
        <f t="shared" si="12"/>
        <v>/</v>
      </c>
      <c r="S115" s="4" t="str">
        <f t="shared" si="13"/>
        <v/>
      </c>
    </row>
    <row r="116" spans="1:19" x14ac:dyDescent="0.35">
      <c r="A116" s="54"/>
      <c r="B116" s="57"/>
      <c r="C116" s="60"/>
      <c r="D116" s="7" t="str">
        <f t="shared" si="7"/>
        <v/>
      </c>
      <c r="E116" s="63" t="str">
        <f>IF(OR(C116="",A116=""),"",IF(A116&lt;'Page de garde'!$G$7,IF(VALUE(RIGHT(C116,2))&lt;50,76,96),INDEX(EC!$C$2:$C$677,MATCH(C116,EC,0))))</f>
        <v/>
      </c>
      <c r="F116" s="33" t="str">
        <f t="shared" si="8"/>
        <v/>
      </c>
      <c r="G116" s="38"/>
      <c r="H116" s="38"/>
      <c r="I116" s="38"/>
      <c r="J116" s="36"/>
      <c r="K116" s="29"/>
      <c r="L116" s="29"/>
      <c r="M116" s="31"/>
      <c r="N116" s="39">
        <f t="shared" si="9"/>
        <v>0</v>
      </c>
      <c r="P116" s="4" t="str">
        <f t="shared" si="10"/>
        <v/>
      </c>
      <c r="Q116" s="4" t="str">
        <f t="shared" si="11"/>
        <v/>
      </c>
      <c r="R116" s="4" t="str">
        <f t="shared" si="12"/>
        <v>/</v>
      </c>
      <c r="S116" s="4" t="str">
        <f t="shared" si="13"/>
        <v/>
      </c>
    </row>
    <row r="117" spans="1:19" x14ac:dyDescent="0.35">
      <c r="A117" s="54"/>
      <c r="B117" s="57"/>
      <c r="C117" s="60"/>
      <c r="D117" s="7" t="str">
        <f t="shared" si="7"/>
        <v/>
      </c>
      <c r="E117" s="63" t="str">
        <f>IF(OR(C117="",A117=""),"",IF(A117&lt;'Page de garde'!$G$7,IF(VALUE(RIGHT(C117,2))&lt;50,76,96),INDEX(EC!$C$2:$C$677,MATCH(C117,EC,0))))</f>
        <v/>
      </c>
      <c r="F117" s="33" t="str">
        <f t="shared" si="8"/>
        <v/>
      </c>
      <c r="G117" s="38"/>
      <c r="H117" s="38"/>
      <c r="I117" s="38"/>
      <c r="J117" s="36"/>
      <c r="K117" s="29"/>
      <c r="L117" s="29"/>
      <c r="M117" s="31"/>
      <c r="N117" s="39">
        <f t="shared" si="9"/>
        <v>0</v>
      </c>
      <c r="P117" s="4" t="str">
        <f t="shared" si="10"/>
        <v/>
      </c>
      <c r="Q117" s="4" t="str">
        <f t="shared" si="11"/>
        <v/>
      </c>
      <c r="R117" s="4" t="str">
        <f t="shared" si="12"/>
        <v>/</v>
      </c>
      <c r="S117" s="4" t="str">
        <f t="shared" si="13"/>
        <v/>
      </c>
    </row>
    <row r="118" spans="1:19" x14ac:dyDescent="0.35">
      <c r="A118" s="54"/>
      <c r="B118" s="57"/>
      <c r="C118" s="60"/>
      <c r="D118" s="7" t="str">
        <f t="shared" si="7"/>
        <v/>
      </c>
      <c r="E118" s="63" t="str">
        <f>IF(OR(C118="",A118=""),"",IF(A118&lt;'Page de garde'!$G$7,IF(VALUE(RIGHT(C118,2))&lt;50,76,96),INDEX(EC!$C$2:$C$677,MATCH(C118,EC,0))))</f>
        <v/>
      </c>
      <c r="F118" s="33" t="str">
        <f t="shared" si="8"/>
        <v/>
      </c>
      <c r="G118" s="38"/>
      <c r="H118" s="38"/>
      <c r="I118" s="38"/>
      <c r="J118" s="36"/>
      <c r="K118" s="29"/>
      <c r="L118" s="29"/>
      <c r="M118" s="31"/>
      <c r="N118" s="39">
        <f t="shared" si="9"/>
        <v>0</v>
      </c>
      <c r="P118" s="4" t="str">
        <f t="shared" si="10"/>
        <v/>
      </c>
      <c r="Q118" s="4" t="str">
        <f t="shared" si="11"/>
        <v/>
      </c>
      <c r="R118" s="4" t="str">
        <f t="shared" si="12"/>
        <v>/</v>
      </c>
      <c r="S118" s="4" t="str">
        <f t="shared" si="13"/>
        <v/>
      </c>
    </row>
    <row r="119" spans="1:19" x14ac:dyDescent="0.35">
      <c r="A119" s="54"/>
      <c r="B119" s="57"/>
      <c r="C119" s="60"/>
      <c r="D119" s="7" t="str">
        <f t="shared" si="7"/>
        <v/>
      </c>
      <c r="E119" s="63" t="str">
        <f>IF(OR(C119="",A119=""),"",IF(A119&lt;'Page de garde'!$G$7,IF(VALUE(RIGHT(C119,2))&lt;50,76,96),INDEX(EC!$C$2:$C$677,MATCH(C119,EC,0))))</f>
        <v/>
      </c>
      <c r="F119" s="33" t="str">
        <f t="shared" si="8"/>
        <v/>
      </c>
      <c r="G119" s="38"/>
      <c r="H119" s="38"/>
      <c r="I119" s="38"/>
      <c r="J119" s="36"/>
      <c r="K119" s="29"/>
      <c r="L119" s="29"/>
      <c r="M119" s="31"/>
      <c r="N119" s="39">
        <f t="shared" si="9"/>
        <v>0</v>
      </c>
      <c r="P119" s="4" t="str">
        <f t="shared" si="10"/>
        <v/>
      </c>
      <c r="Q119" s="4" t="str">
        <f t="shared" si="11"/>
        <v/>
      </c>
      <c r="R119" s="4" t="str">
        <f t="shared" si="12"/>
        <v>/</v>
      </c>
      <c r="S119" s="4" t="str">
        <f t="shared" si="13"/>
        <v/>
      </c>
    </row>
    <row r="120" spans="1:19" x14ac:dyDescent="0.35">
      <c r="A120" s="54"/>
      <c r="B120" s="57"/>
      <c r="C120" s="60"/>
      <c r="D120" s="7" t="str">
        <f t="shared" si="7"/>
        <v/>
      </c>
      <c r="E120" s="63" t="str">
        <f>IF(OR(C120="",A120=""),"",IF(A120&lt;'Page de garde'!$G$7,IF(VALUE(RIGHT(C120,2))&lt;50,76,96),INDEX(EC!$C$2:$C$677,MATCH(C120,EC,0))))</f>
        <v/>
      </c>
      <c r="F120" s="33" t="str">
        <f t="shared" si="8"/>
        <v/>
      </c>
      <c r="G120" s="38"/>
      <c r="H120" s="38"/>
      <c r="I120" s="38"/>
      <c r="J120" s="36"/>
      <c r="K120" s="29"/>
      <c r="L120" s="29"/>
      <c r="M120" s="31"/>
      <c r="N120" s="39">
        <f t="shared" si="9"/>
        <v>0</v>
      </c>
      <c r="P120" s="4" t="str">
        <f t="shared" si="10"/>
        <v/>
      </c>
      <c r="Q120" s="4" t="str">
        <f t="shared" si="11"/>
        <v/>
      </c>
      <c r="R120" s="4" t="str">
        <f t="shared" si="12"/>
        <v>/</v>
      </c>
      <c r="S120" s="4" t="str">
        <f t="shared" si="13"/>
        <v/>
      </c>
    </row>
    <row r="121" spans="1:19" x14ac:dyDescent="0.35">
      <c r="A121" s="54"/>
      <c r="B121" s="57"/>
      <c r="C121" s="60"/>
      <c r="D121" s="7" t="str">
        <f t="shared" si="7"/>
        <v/>
      </c>
      <c r="E121" s="63" t="str">
        <f>IF(OR(C121="",A121=""),"",IF(A121&lt;'Page de garde'!$G$7,IF(VALUE(RIGHT(C121,2))&lt;50,76,96),INDEX(EC!$C$2:$C$677,MATCH(C121,EC,0))))</f>
        <v/>
      </c>
      <c r="F121" s="33" t="str">
        <f t="shared" si="8"/>
        <v/>
      </c>
      <c r="G121" s="38"/>
      <c r="H121" s="38"/>
      <c r="I121" s="38"/>
      <c r="J121" s="36"/>
      <c r="K121" s="29"/>
      <c r="L121" s="29"/>
      <c r="M121" s="31"/>
      <c r="N121" s="39">
        <f t="shared" si="9"/>
        <v>0</v>
      </c>
      <c r="P121" s="4" t="str">
        <f t="shared" si="10"/>
        <v/>
      </c>
      <c r="Q121" s="4" t="str">
        <f t="shared" si="11"/>
        <v/>
      </c>
      <c r="R121" s="4" t="str">
        <f t="shared" si="12"/>
        <v>/</v>
      </c>
      <c r="S121" s="4" t="str">
        <f t="shared" si="13"/>
        <v/>
      </c>
    </row>
    <row r="122" spans="1:19" x14ac:dyDescent="0.35">
      <c r="A122" s="54"/>
      <c r="B122" s="57"/>
      <c r="C122" s="60"/>
      <c r="D122" s="7" t="str">
        <f t="shared" si="7"/>
        <v/>
      </c>
      <c r="E122" s="63" t="str">
        <f>IF(OR(C122="",A122=""),"",IF(A122&lt;'Page de garde'!$G$7,IF(VALUE(RIGHT(C122,2))&lt;50,76,96),INDEX(EC!$C$2:$C$677,MATCH(C122,EC,0))))</f>
        <v/>
      </c>
      <c r="F122" s="33" t="str">
        <f t="shared" si="8"/>
        <v/>
      </c>
      <c r="G122" s="38"/>
      <c r="H122" s="38"/>
      <c r="I122" s="38"/>
      <c r="J122" s="36"/>
      <c r="K122" s="29"/>
      <c r="L122" s="29"/>
      <c r="M122" s="31"/>
      <c r="N122" s="39">
        <f t="shared" si="9"/>
        <v>0</v>
      </c>
      <c r="P122" s="4" t="str">
        <f t="shared" si="10"/>
        <v/>
      </c>
      <c r="Q122" s="4" t="str">
        <f t="shared" si="11"/>
        <v/>
      </c>
      <c r="R122" s="4" t="str">
        <f t="shared" si="12"/>
        <v>/</v>
      </c>
      <c r="S122" s="4" t="str">
        <f t="shared" si="13"/>
        <v/>
      </c>
    </row>
    <row r="123" spans="1:19" x14ac:dyDescent="0.35">
      <c r="A123" s="54"/>
      <c r="B123" s="57"/>
      <c r="C123" s="60"/>
      <c r="D123" s="7" t="str">
        <f t="shared" si="7"/>
        <v/>
      </c>
      <c r="E123" s="63" t="str">
        <f>IF(OR(C123="",A123=""),"",IF(A123&lt;'Page de garde'!$G$7,IF(VALUE(RIGHT(C123,2))&lt;50,76,96),INDEX(EC!$C$2:$C$677,MATCH(C123,EC,0))))</f>
        <v/>
      </c>
      <c r="F123" s="33" t="str">
        <f t="shared" si="8"/>
        <v/>
      </c>
      <c r="G123" s="38"/>
      <c r="H123" s="38"/>
      <c r="I123" s="38"/>
      <c r="J123" s="36"/>
      <c r="K123" s="29"/>
      <c r="L123" s="29"/>
      <c r="M123" s="31"/>
      <c r="N123" s="39">
        <f t="shared" si="9"/>
        <v>0</v>
      </c>
      <c r="P123" s="4" t="str">
        <f t="shared" si="10"/>
        <v/>
      </c>
      <c r="Q123" s="4" t="str">
        <f t="shared" si="11"/>
        <v/>
      </c>
      <c r="R123" s="4" t="str">
        <f t="shared" si="12"/>
        <v>/</v>
      </c>
      <c r="S123" s="4" t="str">
        <f t="shared" si="13"/>
        <v/>
      </c>
    </row>
    <row r="124" spans="1:19" x14ac:dyDescent="0.35">
      <c r="A124" s="54"/>
      <c r="B124" s="57"/>
      <c r="C124" s="60"/>
      <c r="D124" s="7" t="str">
        <f t="shared" si="7"/>
        <v/>
      </c>
      <c r="E124" s="63" t="str">
        <f>IF(OR(C124="",A124=""),"",IF(A124&lt;'Page de garde'!$G$7,IF(VALUE(RIGHT(C124,2))&lt;50,76,96),INDEX(EC!$C$2:$C$677,MATCH(C124,EC,0))))</f>
        <v/>
      </c>
      <c r="F124" s="33" t="str">
        <f t="shared" si="8"/>
        <v/>
      </c>
      <c r="G124" s="38"/>
      <c r="H124" s="38"/>
      <c r="I124" s="38"/>
      <c r="J124" s="36"/>
      <c r="K124" s="29"/>
      <c r="L124" s="29"/>
      <c r="M124" s="31"/>
      <c r="N124" s="39">
        <f t="shared" si="9"/>
        <v>0</v>
      </c>
      <c r="P124" s="4" t="str">
        <f t="shared" si="10"/>
        <v/>
      </c>
      <c r="Q124" s="4" t="str">
        <f t="shared" si="11"/>
        <v/>
      </c>
      <c r="R124" s="4" t="str">
        <f t="shared" si="12"/>
        <v>/</v>
      </c>
      <c r="S124" s="4" t="str">
        <f t="shared" si="13"/>
        <v/>
      </c>
    </row>
    <row r="125" spans="1:19" x14ac:dyDescent="0.35">
      <c r="A125" s="54"/>
      <c r="B125" s="57"/>
      <c r="C125" s="60"/>
      <c r="D125" s="7" t="str">
        <f t="shared" si="7"/>
        <v/>
      </c>
      <c r="E125" s="63" t="str">
        <f>IF(OR(C125="",A125=""),"",IF(A125&lt;'Page de garde'!$G$7,IF(VALUE(RIGHT(C125,2))&lt;50,76,96),INDEX(EC!$C$2:$C$677,MATCH(C125,EC,0))))</f>
        <v/>
      </c>
      <c r="F125" s="33" t="str">
        <f t="shared" si="8"/>
        <v/>
      </c>
      <c r="G125" s="38"/>
      <c r="H125" s="38"/>
      <c r="I125" s="38"/>
      <c r="J125" s="36"/>
      <c r="K125" s="29"/>
      <c r="L125" s="29"/>
      <c r="M125" s="31"/>
      <c r="N125" s="39">
        <f t="shared" si="9"/>
        <v>0</v>
      </c>
      <c r="P125" s="4" t="str">
        <f t="shared" si="10"/>
        <v/>
      </c>
      <c r="Q125" s="4" t="str">
        <f t="shared" si="11"/>
        <v/>
      </c>
      <c r="R125" s="4" t="str">
        <f t="shared" si="12"/>
        <v>/</v>
      </c>
      <c r="S125" s="4" t="str">
        <f t="shared" si="13"/>
        <v/>
      </c>
    </row>
    <row r="126" spans="1:19" x14ac:dyDescent="0.35">
      <c r="A126" s="54"/>
      <c r="B126" s="57"/>
      <c r="C126" s="60"/>
      <c r="D126" s="7" t="str">
        <f t="shared" si="7"/>
        <v/>
      </c>
      <c r="E126" s="63" t="str">
        <f>IF(OR(C126="",A126=""),"",IF(A126&lt;'Page de garde'!$G$7,IF(VALUE(RIGHT(C126,2))&lt;50,76,96),INDEX(EC!$C$2:$C$677,MATCH(C126,EC,0))))</f>
        <v/>
      </c>
      <c r="F126" s="33" t="str">
        <f t="shared" si="8"/>
        <v/>
      </c>
      <c r="G126" s="38"/>
      <c r="H126" s="38"/>
      <c r="I126" s="38"/>
      <c r="J126" s="36"/>
      <c r="K126" s="29"/>
      <c r="L126" s="29"/>
      <c r="M126" s="31"/>
      <c r="N126" s="39">
        <f t="shared" si="9"/>
        <v>0</v>
      </c>
      <c r="P126" s="4" t="str">
        <f t="shared" si="10"/>
        <v/>
      </c>
      <c r="Q126" s="4" t="str">
        <f t="shared" si="11"/>
        <v/>
      </c>
      <c r="R126" s="4" t="str">
        <f t="shared" si="12"/>
        <v>/</v>
      </c>
      <c r="S126" s="4" t="str">
        <f t="shared" si="13"/>
        <v/>
      </c>
    </row>
    <row r="127" spans="1:19" x14ac:dyDescent="0.35">
      <c r="A127" s="54"/>
      <c r="B127" s="57"/>
      <c r="C127" s="60"/>
      <c r="D127" s="7" t="str">
        <f t="shared" si="7"/>
        <v/>
      </c>
      <c r="E127" s="63" t="str">
        <f>IF(OR(C127="",A127=""),"",IF(A127&lt;'Page de garde'!$G$7,IF(VALUE(RIGHT(C127,2))&lt;50,76,96),INDEX(EC!$C$2:$C$677,MATCH(C127,EC,0))))</f>
        <v/>
      </c>
      <c r="F127" s="33" t="str">
        <f t="shared" si="8"/>
        <v/>
      </c>
      <c r="G127" s="38"/>
      <c r="H127" s="38"/>
      <c r="I127" s="38"/>
      <c r="J127" s="36"/>
      <c r="K127" s="29"/>
      <c r="L127" s="29"/>
      <c r="M127" s="31"/>
      <c r="N127" s="39">
        <f t="shared" si="9"/>
        <v>0</v>
      </c>
      <c r="P127" s="4" t="str">
        <f t="shared" si="10"/>
        <v/>
      </c>
      <c r="Q127" s="4" t="str">
        <f t="shared" si="11"/>
        <v/>
      </c>
      <c r="R127" s="4" t="str">
        <f t="shared" si="12"/>
        <v>/</v>
      </c>
      <c r="S127" s="4" t="str">
        <f t="shared" si="13"/>
        <v/>
      </c>
    </row>
    <row r="128" spans="1:19" x14ac:dyDescent="0.35">
      <c r="A128" s="54"/>
      <c r="B128" s="57"/>
      <c r="C128" s="60"/>
      <c r="D128" s="7" t="str">
        <f t="shared" si="7"/>
        <v/>
      </c>
      <c r="E128" s="63" t="str">
        <f>IF(OR(C128="",A128=""),"",IF(A128&lt;'Page de garde'!$G$7,IF(VALUE(RIGHT(C128,2))&lt;50,76,96),INDEX(EC!$C$2:$C$677,MATCH(C128,EC,0))))</f>
        <v/>
      </c>
      <c r="F128" s="33" t="str">
        <f t="shared" si="8"/>
        <v/>
      </c>
      <c r="G128" s="38"/>
      <c r="H128" s="38"/>
      <c r="I128" s="38"/>
      <c r="J128" s="36"/>
      <c r="K128" s="29"/>
      <c r="L128" s="29"/>
      <c r="M128" s="31"/>
      <c r="N128" s="39">
        <f t="shared" si="9"/>
        <v>0</v>
      </c>
      <c r="P128" s="4" t="str">
        <f t="shared" si="10"/>
        <v/>
      </c>
      <c r="Q128" s="4" t="str">
        <f t="shared" si="11"/>
        <v/>
      </c>
      <c r="R128" s="4" t="str">
        <f t="shared" si="12"/>
        <v>/</v>
      </c>
      <c r="S128" s="4" t="str">
        <f t="shared" si="13"/>
        <v/>
      </c>
    </row>
    <row r="129" spans="1:19" x14ac:dyDescent="0.35">
      <c r="A129" s="54"/>
      <c r="B129" s="57"/>
      <c r="C129" s="60"/>
      <c r="D129" s="7" t="str">
        <f t="shared" si="7"/>
        <v/>
      </c>
      <c r="E129" s="63" t="str">
        <f>IF(OR(C129="",A129=""),"",IF(A129&lt;'Page de garde'!$G$7,IF(VALUE(RIGHT(C129,2))&lt;50,76,96),INDEX(EC!$C$2:$C$677,MATCH(C129,EC,0))))</f>
        <v/>
      </c>
      <c r="F129" s="33" t="str">
        <f t="shared" si="8"/>
        <v/>
      </c>
      <c r="G129" s="38"/>
      <c r="H129" s="38"/>
      <c r="I129" s="38"/>
      <c r="J129" s="36"/>
      <c r="K129" s="29"/>
      <c r="L129" s="29"/>
      <c r="M129" s="31"/>
      <c r="N129" s="39">
        <f t="shared" si="9"/>
        <v>0</v>
      </c>
      <c r="P129" s="4" t="str">
        <f t="shared" si="10"/>
        <v/>
      </c>
      <c r="Q129" s="4" t="str">
        <f t="shared" si="11"/>
        <v/>
      </c>
      <c r="R129" s="4" t="str">
        <f t="shared" si="12"/>
        <v>/</v>
      </c>
      <c r="S129" s="4" t="str">
        <f t="shared" si="13"/>
        <v/>
      </c>
    </row>
    <row r="130" spans="1:19" x14ac:dyDescent="0.35">
      <c r="A130" s="54"/>
      <c r="B130" s="57"/>
      <c r="C130" s="60"/>
      <c r="D130" s="7" t="str">
        <f t="shared" si="7"/>
        <v/>
      </c>
      <c r="E130" s="63" t="str">
        <f>IF(OR(C130="",A130=""),"",IF(A130&lt;'Page de garde'!$G$7,IF(VALUE(RIGHT(C130,2))&lt;50,76,96),INDEX(EC!$C$2:$C$677,MATCH(C130,EC,0))))</f>
        <v/>
      </c>
      <c r="F130" s="33" t="str">
        <f t="shared" si="8"/>
        <v/>
      </c>
      <c r="G130" s="38"/>
      <c r="H130" s="38"/>
      <c r="I130" s="38"/>
      <c r="J130" s="36"/>
      <c r="K130" s="29"/>
      <c r="L130" s="29"/>
      <c r="M130" s="31"/>
      <c r="N130" s="39">
        <f t="shared" si="9"/>
        <v>0</v>
      </c>
      <c r="P130" s="4" t="str">
        <f t="shared" si="10"/>
        <v/>
      </c>
      <c r="Q130" s="4" t="str">
        <f t="shared" si="11"/>
        <v/>
      </c>
      <c r="R130" s="4" t="str">
        <f t="shared" si="12"/>
        <v>/</v>
      </c>
      <c r="S130" s="4" t="str">
        <f t="shared" si="13"/>
        <v/>
      </c>
    </row>
    <row r="131" spans="1:19" x14ac:dyDescent="0.35">
      <c r="A131" s="54"/>
      <c r="B131" s="57"/>
      <c r="C131" s="60"/>
      <c r="D131" s="7" t="str">
        <f t="shared" si="7"/>
        <v/>
      </c>
      <c r="E131" s="63" t="str">
        <f>IF(OR(C131="",A131=""),"",IF(A131&lt;'Page de garde'!$G$7,IF(VALUE(RIGHT(C131,2))&lt;50,76,96),INDEX(EC!$C$2:$C$677,MATCH(C131,EC,0))))</f>
        <v/>
      </c>
      <c r="F131" s="33" t="str">
        <f t="shared" si="8"/>
        <v/>
      </c>
      <c r="G131" s="38"/>
      <c r="H131" s="38"/>
      <c r="I131" s="38"/>
      <c r="J131" s="36"/>
      <c r="K131" s="29"/>
      <c r="L131" s="29"/>
      <c r="M131" s="31"/>
      <c r="N131" s="39">
        <f t="shared" si="9"/>
        <v>0</v>
      </c>
      <c r="P131" s="4" t="str">
        <f t="shared" si="10"/>
        <v/>
      </c>
      <c r="Q131" s="4" t="str">
        <f t="shared" si="11"/>
        <v/>
      </c>
      <c r="R131" s="4" t="str">
        <f t="shared" si="12"/>
        <v>/</v>
      </c>
      <c r="S131" s="4" t="str">
        <f t="shared" si="13"/>
        <v/>
      </c>
    </row>
    <row r="132" spans="1:19" x14ac:dyDescent="0.35">
      <c r="A132" s="54"/>
      <c r="B132" s="57"/>
      <c r="C132" s="60"/>
      <c r="D132" s="7" t="str">
        <f t="shared" si="7"/>
        <v/>
      </c>
      <c r="E132" s="63" t="str">
        <f>IF(OR(C132="",A132=""),"",IF(A132&lt;'Page de garde'!$G$7,IF(VALUE(RIGHT(C132,2))&lt;50,76,96),INDEX(EC!$C$2:$C$677,MATCH(C132,EC,0))))</f>
        <v/>
      </c>
      <c r="F132" s="33" t="str">
        <f t="shared" si="8"/>
        <v/>
      </c>
      <c r="G132" s="38"/>
      <c r="H132" s="38"/>
      <c r="I132" s="38"/>
      <c r="J132" s="36"/>
      <c r="K132" s="29"/>
      <c r="L132" s="29"/>
      <c r="M132" s="31"/>
      <c r="N132" s="39">
        <f t="shared" si="9"/>
        <v>0</v>
      </c>
      <c r="P132" s="4" t="str">
        <f t="shared" si="10"/>
        <v/>
      </c>
      <c r="Q132" s="4" t="str">
        <f t="shared" si="11"/>
        <v/>
      </c>
      <c r="R132" s="4" t="str">
        <f t="shared" si="12"/>
        <v>/</v>
      </c>
      <c r="S132" s="4" t="str">
        <f t="shared" si="13"/>
        <v/>
      </c>
    </row>
    <row r="133" spans="1:19" x14ac:dyDescent="0.35">
      <c r="A133" s="54"/>
      <c r="B133" s="57"/>
      <c r="C133" s="60"/>
      <c r="D133" s="7" t="str">
        <f t="shared" ref="D133:D196" si="14">IF(OR(B133="",C133=""),"",CONCATENATE(B133,"/",LEFT(C133,3),"-",RIGHT(C133,2)))</f>
        <v/>
      </c>
      <c r="E133" s="63" t="str">
        <f>IF(OR(C133="",A133=""),"",IF(A133&lt;'Page de garde'!$G$7,IF(VALUE(RIGHT(C133,2))&lt;50,76,96),INDEX(EC!$C$2:$C$677,MATCH(C133,EC,0))))</f>
        <v/>
      </c>
      <c r="F133" s="33" t="str">
        <f t="shared" ref="F133:F196" si="15">IF(C133="","",INDEX(OmEC,MATCH(C133,EC,0)))</f>
        <v/>
      </c>
      <c r="G133" s="38"/>
      <c r="H133" s="38"/>
      <c r="I133" s="38"/>
      <c r="J133" s="36"/>
      <c r="K133" s="29"/>
      <c r="L133" s="29"/>
      <c r="M133" s="31"/>
      <c r="N133" s="39">
        <f t="shared" ref="N133:N196" si="16">SUM(I133:M133)</f>
        <v>0</v>
      </c>
      <c r="P133" s="4" t="str">
        <f t="shared" ref="P133:P196" si="17">LEFT(C133,3)</f>
        <v/>
      </c>
      <c r="Q133" s="4" t="str">
        <f t="shared" si="11"/>
        <v/>
      </c>
      <c r="R133" s="4" t="str">
        <f t="shared" si="12"/>
        <v>/</v>
      </c>
      <c r="S133" s="4" t="str">
        <f t="shared" si="13"/>
        <v/>
      </c>
    </row>
    <row r="134" spans="1:19" x14ac:dyDescent="0.35">
      <c r="A134" s="54"/>
      <c r="B134" s="57"/>
      <c r="C134" s="60"/>
      <c r="D134" s="7" t="str">
        <f t="shared" si="14"/>
        <v/>
      </c>
      <c r="E134" s="63" t="str">
        <f>IF(OR(C134="",A134=""),"",IF(A134&lt;'Page de garde'!$G$7,IF(VALUE(RIGHT(C134,2))&lt;50,76,96),INDEX(EC!$C$2:$C$677,MATCH(C134,EC,0))))</f>
        <v/>
      </c>
      <c r="F134" s="33" t="str">
        <f t="shared" si="15"/>
        <v/>
      </c>
      <c r="G134" s="38"/>
      <c r="H134" s="38"/>
      <c r="I134" s="38"/>
      <c r="J134" s="36"/>
      <c r="K134" s="29"/>
      <c r="L134" s="29"/>
      <c r="M134" s="31"/>
      <c r="N134" s="39">
        <f t="shared" si="16"/>
        <v>0</v>
      </c>
      <c r="P134" s="4" t="str">
        <f t="shared" si="17"/>
        <v/>
      </c>
      <c r="Q134" s="4" t="str">
        <f t="shared" ref="Q134:Q197" si="18">IF(C134="","",IF(VALUE(RIGHT(C134,2))&lt;50,"G","B"))</f>
        <v/>
      </c>
      <c r="R134" s="4" t="str">
        <f t="shared" ref="R134:R197" si="19">CONCATENATE(D134,"/",A134)</f>
        <v>/</v>
      </c>
      <c r="S134" s="4" t="str">
        <f t="shared" ref="S134:S197" si="20">LEFT(B134,3)</f>
        <v/>
      </c>
    </row>
    <row r="135" spans="1:19" x14ac:dyDescent="0.35">
      <c r="A135" s="54"/>
      <c r="B135" s="57"/>
      <c r="C135" s="60"/>
      <c r="D135" s="7" t="str">
        <f t="shared" si="14"/>
        <v/>
      </c>
      <c r="E135" s="63" t="str">
        <f>IF(OR(C135="",A135=""),"",IF(A135&lt;'Page de garde'!$G$7,IF(VALUE(RIGHT(C135,2))&lt;50,76,96),INDEX(EC!$C$2:$C$677,MATCH(C135,EC,0))))</f>
        <v/>
      </c>
      <c r="F135" s="33" t="str">
        <f t="shared" si="15"/>
        <v/>
      </c>
      <c r="G135" s="38"/>
      <c r="H135" s="38"/>
      <c r="I135" s="38"/>
      <c r="J135" s="36"/>
      <c r="K135" s="29"/>
      <c r="L135" s="29"/>
      <c r="M135" s="31"/>
      <c r="N135" s="39">
        <f t="shared" si="16"/>
        <v>0</v>
      </c>
      <c r="P135" s="4" t="str">
        <f t="shared" si="17"/>
        <v/>
      </c>
      <c r="Q135" s="4" t="str">
        <f t="shared" si="18"/>
        <v/>
      </c>
      <c r="R135" s="4" t="str">
        <f t="shared" si="19"/>
        <v>/</v>
      </c>
      <c r="S135" s="4" t="str">
        <f t="shared" si="20"/>
        <v/>
      </c>
    </row>
    <row r="136" spans="1:19" x14ac:dyDescent="0.35">
      <c r="A136" s="54"/>
      <c r="B136" s="57"/>
      <c r="C136" s="60"/>
      <c r="D136" s="7" t="str">
        <f t="shared" si="14"/>
        <v/>
      </c>
      <c r="E136" s="63" t="str">
        <f>IF(OR(C136="",A136=""),"",IF(A136&lt;'Page de garde'!$G$7,IF(VALUE(RIGHT(C136,2))&lt;50,76,96),INDEX(EC!$C$2:$C$677,MATCH(C136,EC,0))))</f>
        <v/>
      </c>
      <c r="F136" s="33" t="str">
        <f t="shared" si="15"/>
        <v/>
      </c>
      <c r="G136" s="38"/>
      <c r="H136" s="38"/>
      <c r="I136" s="38"/>
      <c r="J136" s="36"/>
      <c r="K136" s="29"/>
      <c r="L136" s="29"/>
      <c r="M136" s="31"/>
      <c r="N136" s="39">
        <f t="shared" si="16"/>
        <v>0</v>
      </c>
      <c r="P136" s="4" t="str">
        <f t="shared" si="17"/>
        <v/>
      </c>
      <c r="Q136" s="4" t="str">
        <f t="shared" si="18"/>
        <v/>
      </c>
      <c r="R136" s="4" t="str">
        <f t="shared" si="19"/>
        <v>/</v>
      </c>
      <c r="S136" s="4" t="str">
        <f t="shared" si="20"/>
        <v/>
      </c>
    </row>
    <row r="137" spans="1:19" x14ac:dyDescent="0.35">
      <c r="A137" s="54"/>
      <c r="B137" s="57"/>
      <c r="C137" s="60"/>
      <c r="D137" s="7" t="str">
        <f t="shared" si="14"/>
        <v/>
      </c>
      <c r="E137" s="63" t="str">
        <f>IF(OR(C137="",A137=""),"",IF(A137&lt;'Page de garde'!$G$7,IF(VALUE(RIGHT(C137,2))&lt;50,76,96),INDEX(EC!$C$2:$C$677,MATCH(C137,EC,0))))</f>
        <v/>
      </c>
      <c r="F137" s="33" t="str">
        <f t="shared" si="15"/>
        <v/>
      </c>
      <c r="G137" s="38"/>
      <c r="H137" s="38"/>
      <c r="I137" s="38"/>
      <c r="J137" s="36"/>
      <c r="K137" s="29"/>
      <c r="L137" s="29"/>
      <c r="M137" s="31"/>
      <c r="N137" s="39">
        <f t="shared" si="16"/>
        <v>0</v>
      </c>
      <c r="P137" s="4" t="str">
        <f t="shared" si="17"/>
        <v/>
      </c>
      <c r="Q137" s="4" t="str">
        <f t="shared" si="18"/>
        <v/>
      </c>
      <c r="R137" s="4" t="str">
        <f t="shared" si="19"/>
        <v>/</v>
      </c>
      <c r="S137" s="4" t="str">
        <f t="shared" si="20"/>
        <v/>
      </c>
    </row>
    <row r="138" spans="1:19" x14ac:dyDescent="0.35">
      <c r="A138" s="54"/>
      <c r="B138" s="57"/>
      <c r="C138" s="60"/>
      <c r="D138" s="7" t="str">
        <f t="shared" si="14"/>
        <v/>
      </c>
      <c r="E138" s="63" t="str">
        <f>IF(OR(C138="",A138=""),"",IF(A138&lt;'Page de garde'!$G$7,IF(VALUE(RIGHT(C138,2))&lt;50,76,96),INDEX(EC!$C$2:$C$677,MATCH(C138,EC,0))))</f>
        <v/>
      </c>
      <c r="F138" s="33" t="str">
        <f t="shared" si="15"/>
        <v/>
      </c>
      <c r="G138" s="38"/>
      <c r="H138" s="38"/>
      <c r="I138" s="38"/>
      <c r="J138" s="36"/>
      <c r="K138" s="29"/>
      <c r="L138" s="29"/>
      <c r="M138" s="31"/>
      <c r="N138" s="39">
        <f t="shared" si="16"/>
        <v>0</v>
      </c>
      <c r="P138" s="4" t="str">
        <f t="shared" si="17"/>
        <v/>
      </c>
      <c r="Q138" s="4" t="str">
        <f t="shared" si="18"/>
        <v/>
      </c>
      <c r="R138" s="4" t="str">
        <f t="shared" si="19"/>
        <v>/</v>
      </c>
      <c r="S138" s="4" t="str">
        <f t="shared" si="20"/>
        <v/>
      </c>
    </row>
    <row r="139" spans="1:19" x14ac:dyDescent="0.35">
      <c r="A139" s="54"/>
      <c r="B139" s="57"/>
      <c r="C139" s="60"/>
      <c r="D139" s="7" t="str">
        <f t="shared" si="14"/>
        <v/>
      </c>
      <c r="E139" s="63" t="str">
        <f>IF(OR(C139="",A139=""),"",IF(A139&lt;'Page de garde'!$G$7,IF(VALUE(RIGHT(C139,2))&lt;50,76,96),INDEX(EC!$C$2:$C$677,MATCH(C139,EC,0))))</f>
        <v/>
      </c>
      <c r="F139" s="33" t="str">
        <f t="shared" si="15"/>
        <v/>
      </c>
      <c r="G139" s="38"/>
      <c r="H139" s="38"/>
      <c r="I139" s="38"/>
      <c r="J139" s="36"/>
      <c r="K139" s="29"/>
      <c r="L139" s="29"/>
      <c r="M139" s="31"/>
      <c r="N139" s="39">
        <f t="shared" si="16"/>
        <v>0</v>
      </c>
      <c r="P139" s="4" t="str">
        <f t="shared" si="17"/>
        <v/>
      </c>
      <c r="Q139" s="4" t="str">
        <f t="shared" si="18"/>
        <v/>
      </c>
      <c r="R139" s="4" t="str">
        <f t="shared" si="19"/>
        <v>/</v>
      </c>
      <c r="S139" s="4" t="str">
        <f t="shared" si="20"/>
        <v/>
      </c>
    </row>
    <row r="140" spans="1:19" x14ac:dyDescent="0.35">
      <c r="A140" s="54"/>
      <c r="B140" s="57"/>
      <c r="C140" s="60"/>
      <c r="D140" s="7" t="str">
        <f t="shared" si="14"/>
        <v/>
      </c>
      <c r="E140" s="63" t="str">
        <f>IF(OR(C140="",A140=""),"",IF(A140&lt;'Page de garde'!$G$7,IF(VALUE(RIGHT(C140,2))&lt;50,76,96),INDEX(EC!$C$2:$C$677,MATCH(C140,EC,0))))</f>
        <v/>
      </c>
      <c r="F140" s="33" t="str">
        <f t="shared" si="15"/>
        <v/>
      </c>
      <c r="G140" s="38"/>
      <c r="H140" s="38"/>
      <c r="I140" s="38"/>
      <c r="J140" s="36"/>
      <c r="K140" s="29"/>
      <c r="L140" s="29"/>
      <c r="M140" s="31"/>
      <c r="N140" s="39">
        <f t="shared" si="16"/>
        <v>0</v>
      </c>
      <c r="P140" s="4" t="str">
        <f t="shared" si="17"/>
        <v/>
      </c>
      <c r="Q140" s="4" t="str">
        <f t="shared" si="18"/>
        <v/>
      </c>
      <c r="R140" s="4" t="str">
        <f t="shared" si="19"/>
        <v>/</v>
      </c>
      <c r="S140" s="4" t="str">
        <f t="shared" si="20"/>
        <v/>
      </c>
    </row>
    <row r="141" spans="1:19" x14ac:dyDescent="0.35">
      <c r="A141" s="54"/>
      <c r="B141" s="57"/>
      <c r="C141" s="60"/>
      <c r="D141" s="7" t="str">
        <f t="shared" si="14"/>
        <v/>
      </c>
      <c r="E141" s="63" t="str">
        <f>IF(OR(C141="",A141=""),"",IF(A141&lt;'Page de garde'!$G$7,IF(VALUE(RIGHT(C141,2))&lt;50,76,96),INDEX(EC!$C$2:$C$677,MATCH(C141,EC,0))))</f>
        <v/>
      </c>
      <c r="F141" s="33" t="str">
        <f t="shared" si="15"/>
        <v/>
      </c>
      <c r="G141" s="38"/>
      <c r="H141" s="38"/>
      <c r="I141" s="38"/>
      <c r="J141" s="36"/>
      <c r="K141" s="29"/>
      <c r="L141" s="29"/>
      <c r="M141" s="31"/>
      <c r="N141" s="39">
        <f t="shared" si="16"/>
        <v>0</v>
      </c>
      <c r="P141" s="4" t="str">
        <f t="shared" si="17"/>
        <v/>
      </c>
      <c r="Q141" s="4" t="str">
        <f t="shared" si="18"/>
        <v/>
      </c>
      <c r="R141" s="4" t="str">
        <f t="shared" si="19"/>
        <v>/</v>
      </c>
      <c r="S141" s="4" t="str">
        <f t="shared" si="20"/>
        <v/>
      </c>
    </row>
    <row r="142" spans="1:19" x14ac:dyDescent="0.35">
      <c r="A142" s="54"/>
      <c r="B142" s="57"/>
      <c r="C142" s="60"/>
      <c r="D142" s="7" t="str">
        <f t="shared" si="14"/>
        <v/>
      </c>
      <c r="E142" s="63" t="str">
        <f>IF(OR(C142="",A142=""),"",IF(A142&lt;'Page de garde'!$G$7,IF(VALUE(RIGHT(C142,2))&lt;50,76,96),INDEX(EC!$C$2:$C$677,MATCH(C142,EC,0))))</f>
        <v/>
      </c>
      <c r="F142" s="33" t="str">
        <f t="shared" si="15"/>
        <v/>
      </c>
      <c r="G142" s="38"/>
      <c r="H142" s="38"/>
      <c r="I142" s="38"/>
      <c r="J142" s="36"/>
      <c r="K142" s="29"/>
      <c r="L142" s="29"/>
      <c r="M142" s="31"/>
      <c r="N142" s="39">
        <f t="shared" si="16"/>
        <v>0</v>
      </c>
      <c r="P142" s="4" t="str">
        <f t="shared" si="17"/>
        <v/>
      </c>
      <c r="Q142" s="4" t="str">
        <f t="shared" si="18"/>
        <v/>
      </c>
      <c r="R142" s="4" t="str">
        <f t="shared" si="19"/>
        <v>/</v>
      </c>
      <c r="S142" s="4" t="str">
        <f t="shared" si="20"/>
        <v/>
      </c>
    </row>
    <row r="143" spans="1:19" x14ac:dyDescent="0.35">
      <c r="A143" s="54"/>
      <c r="B143" s="57"/>
      <c r="C143" s="60"/>
      <c r="D143" s="7" t="str">
        <f t="shared" si="14"/>
        <v/>
      </c>
      <c r="E143" s="63" t="str">
        <f>IF(OR(C143="",A143=""),"",IF(A143&lt;'Page de garde'!$G$7,IF(VALUE(RIGHT(C143,2))&lt;50,76,96),INDEX(EC!$C$2:$C$677,MATCH(C143,EC,0))))</f>
        <v/>
      </c>
      <c r="F143" s="33" t="str">
        <f t="shared" si="15"/>
        <v/>
      </c>
      <c r="G143" s="38"/>
      <c r="H143" s="38"/>
      <c r="I143" s="38"/>
      <c r="J143" s="36"/>
      <c r="K143" s="29"/>
      <c r="L143" s="29"/>
      <c r="M143" s="31"/>
      <c r="N143" s="39">
        <f t="shared" si="16"/>
        <v>0</v>
      </c>
      <c r="P143" s="4" t="str">
        <f t="shared" si="17"/>
        <v/>
      </c>
      <c r="Q143" s="4" t="str">
        <f t="shared" si="18"/>
        <v/>
      </c>
      <c r="R143" s="4" t="str">
        <f t="shared" si="19"/>
        <v>/</v>
      </c>
      <c r="S143" s="4" t="str">
        <f t="shared" si="20"/>
        <v/>
      </c>
    </row>
    <row r="144" spans="1:19" x14ac:dyDescent="0.35">
      <c r="A144" s="54"/>
      <c r="B144" s="57"/>
      <c r="C144" s="60"/>
      <c r="D144" s="7" t="str">
        <f t="shared" si="14"/>
        <v/>
      </c>
      <c r="E144" s="63" t="str">
        <f>IF(OR(C144="",A144=""),"",IF(A144&lt;'Page de garde'!$G$7,IF(VALUE(RIGHT(C144,2))&lt;50,76,96),INDEX(EC!$C$2:$C$677,MATCH(C144,EC,0))))</f>
        <v/>
      </c>
      <c r="F144" s="33" t="str">
        <f t="shared" si="15"/>
        <v/>
      </c>
      <c r="G144" s="38"/>
      <c r="H144" s="38"/>
      <c r="I144" s="38"/>
      <c r="J144" s="36"/>
      <c r="K144" s="29"/>
      <c r="L144" s="29"/>
      <c r="M144" s="31"/>
      <c r="N144" s="39">
        <f t="shared" si="16"/>
        <v>0</v>
      </c>
      <c r="P144" s="4" t="str">
        <f t="shared" si="17"/>
        <v/>
      </c>
      <c r="Q144" s="4" t="str">
        <f t="shared" si="18"/>
        <v/>
      </c>
      <c r="R144" s="4" t="str">
        <f t="shared" si="19"/>
        <v>/</v>
      </c>
      <c r="S144" s="4" t="str">
        <f t="shared" si="20"/>
        <v/>
      </c>
    </row>
    <row r="145" spans="1:19" x14ac:dyDescent="0.35">
      <c r="A145" s="54"/>
      <c r="B145" s="57"/>
      <c r="C145" s="60"/>
      <c r="D145" s="7" t="str">
        <f t="shared" si="14"/>
        <v/>
      </c>
      <c r="E145" s="63" t="str">
        <f>IF(OR(C145="",A145=""),"",IF(A145&lt;'Page de garde'!$G$7,IF(VALUE(RIGHT(C145,2))&lt;50,76,96),INDEX(EC!$C$2:$C$677,MATCH(C145,EC,0))))</f>
        <v/>
      </c>
      <c r="F145" s="33" t="str">
        <f t="shared" si="15"/>
        <v/>
      </c>
      <c r="G145" s="38"/>
      <c r="H145" s="38"/>
      <c r="I145" s="38"/>
      <c r="J145" s="36"/>
      <c r="K145" s="29"/>
      <c r="L145" s="29"/>
      <c r="M145" s="31"/>
      <c r="N145" s="39">
        <f t="shared" si="16"/>
        <v>0</v>
      </c>
      <c r="P145" s="4" t="str">
        <f t="shared" si="17"/>
        <v/>
      </c>
      <c r="Q145" s="4" t="str">
        <f t="shared" si="18"/>
        <v/>
      </c>
      <c r="R145" s="4" t="str">
        <f t="shared" si="19"/>
        <v>/</v>
      </c>
      <c r="S145" s="4" t="str">
        <f t="shared" si="20"/>
        <v/>
      </c>
    </row>
    <row r="146" spans="1:19" x14ac:dyDescent="0.35">
      <c r="A146" s="54"/>
      <c r="B146" s="57"/>
      <c r="C146" s="60"/>
      <c r="D146" s="7" t="str">
        <f t="shared" si="14"/>
        <v/>
      </c>
      <c r="E146" s="63" t="str">
        <f>IF(OR(C146="",A146=""),"",IF(A146&lt;'Page de garde'!$G$7,IF(VALUE(RIGHT(C146,2))&lt;50,76,96),INDEX(EC!$C$2:$C$677,MATCH(C146,EC,0))))</f>
        <v/>
      </c>
      <c r="F146" s="33" t="str">
        <f t="shared" si="15"/>
        <v/>
      </c>
      <c r="G146" s="38"/>
      <c r="H146" s="38"/>
      <c r="I146" s="38"/>
      <c r="J146" s="36"/>
      <c r="K146" s="29"/>
      <c r="L146" s="29"/>
      <c r="M146" s="31"/>
      <c r="N146" s="39">
        <f t="shared" si="16"/>
        <v>0</v>
      </c>
      <c r="P146" s="4" t="str">
        <f t="shared" si="17"/>
        <v/>
      </c>
      <c r="Q146" s="4" t="str">
        <f t="shared" si="18"/>
        <v/>
      </c>
      <c r="R146" s="4" t="str">
        <f t="shared" si="19"/>
        <v>/</v>
      </c>
      <c r="S146" s="4" t="str">
        <f t="shared" si="20"/>
        <v/>
      </c>
    </row>
    <row r="147" spans="1:19" x14ac:dyDescent="0.35">
      <c r="A147" s="54"/>
      <c r="B147" s="57"/>
      <c r="C147" s="60"/>
      <c r="D147" s="7" t="str">
        <f t="shared" si="14"/>
        <v/>
      </c>
      <c r="E147" s="63" t="str">
        <f>IF(OR(C147="",A147=""),"",IF(A147&lt;'Page de garde'!$G$7,IF(VALUE(RIGHT(C147,2))&lt;50,76,96),INDEX(EC!$C$2:$C$677,MATCH(C147,EC,0))))</f>
        <v/>
      </c>
      <c r="F147" s="33" t="str">
        <f t="shared" si="15"/>
        <v/>
      </c>
      <c r="G147" s="38"/>
      <c r="H147" s="38"/>
      <c r="I147" s="38"/>
      <c r="J147" s="36"/>
      <c r="K147" s="29"/>
      <c r="L147" s="29"/>
      <c r="M147" s="31"/>
      <c r="N147" s="39">
        <f t="shared" si="16"/>
        <v>0</v>
      </c>
      <c r="P147" s="4" t="str">
        <f t="shared" si="17"/>
        <v/>
      </c>
      <c r="Q147" s="4" t="str">
        <f t="shared" si="18"/>
        <v/>
      </c>
      <c r="R147" s="4" t="str">
        <f t="shared" si="19"/>
        <v>/</v>
      </c>
      <c r="S147" s="4" t="str">
        <f t="shared" si="20"/>
        <v/>
      </c>
    </row>
    <row r="148" spans="1:19" x14ac:dyDescent="0.35">
      <c r="A148" s="54"/>
      <c r="B148" s="57"/>
      <c r="C148" s="60"/>
      <c r="D148" s="7" t="str">
        <f t="shared" si="14"/>
        <v/>
      </c>
      <c r="E148" s="63" t="str">
        <f>IF(OR(C148="",A148=""),"",IF(A148&lt;'Page de garde'!$G$7,IF(VALUE(RIGHT(C148,2))&lt;50,76,96),INDEX(EC!$C$2:$C$677,MATCH(C148,EC,0))))</f>
        <v/>
      </c>
      <c r="F148" s="33" t="str">
        <f t="shared" si="15"/>
        <v/>
      </c>
      <c r="G148" s="38"/>
      <c r="H148" s="38"/>
      <c r="I148" s="38"/>
      <c r="J148" s="36"/>
      <c r="K148" s="29"/>
      <c r="L148" s="29"/>
      <c r="M148" s="31"/>
      <c r="N148" s="39">
        <f t="shared" si="16"/>
        <v>0</v>
      </c>
      <c r="P148" s="4" t="str">
        <f t="shared" si="17"/>
        <v/>
      </c>
      <c r="Q148" s="4" t="str">
        <f t="shared" si="18"/>
        <v/>
      </c>
      <c r="R148" s="4" t="str">
        <f t="shared" si="19"/>
        <v>/</v>
      </c>
      <c r="S148" s="4" t="str">
        <f t="shared" si="20"/>
        <v/>
      </c>
    </row>
    <row r="149" spans="1:19" x14ac:dyDescent="0.35">
      <c r="A149" s="54"/>
      <c r="B149" s="57"/>
      <c r="C149" s="60"/>
      <c r="D149" s="7" t="str">
        <f t="shared" si="14"/>
        <v/>
      </c>
      <c r="E149" s="63" t="str">
        <f>IF(OR(C149="",A149=""),"",IF(A149&lt;'Page de garde'!$G$7,IF(VALUE(RIGHT(C149,2))&lt;50,76,96),INDEX(EC!$C$2:$C$677,MATCH(C149,EC,0))))</f>
        <v/>
      </c>
      <c r="F149" s="33" t="str">
        <f t="shared" si="15"/>
        <v/>
      </c>
      <c r="G149" s="38"/>
      <c r="H149" s="38"/>
      <c r="I149" s="38"/>
      <c r="J149" s="36"/>
      <c r="K149" s="29"/>
      <c r="L149" s="29"/>
      <c r="M149" s="31"/>
      <c r="N149" s="39">
        <f t="shared" si="16"/>
        <v>0</v>
      </c>
      <c r="P149" s="4" t="str">
        <f t="shared" si="17"/>
        <v/>
      </c>
      <c r="Q149" s="4" t="str">
        <f t="shared" si="18"/>
        <v/>
      </c>
      <c r="R149" s="4" t="str">
        <f t="shared" si="19"/>
        <v>/</v>
      </c>
      <c r="S149" s="4" t="str">
        <f t="shared" si="20"/>
        <v/>
      </c>
    </row>
    <row r="150" spans="1:19" x14ac:dyDescent="0.35">
      <c r="A150" s="54"/>
      <c r="B150" s="57"/>
      <c r="C150" s="60"/>
      <c r="D150" s="7" t="str">
        <f t="shared" si="14"/>
        <v/>
      </c>
      <c r="E150" s="63" t="str">
        <f>IF(OR(C150="",A150=""),"",IF(A150&lt;'Page de garde'!$G$7,IF(VALUE(RIGHT(C150,2))&lt;50,76,96),INDEX(EC!$C$2:$C$677,MATCH(C150,EC,0))))</f>
        <v/>
      </c>
      <c r="F150" s="33" t="str">
        <f t="shared" si="15"/>
        <v/>
      </c>
      <c r="G150" s="38"/>
      <c r="H150" s="38"/>
      <c r="I150" s="38"/>
      <c r="J150" s="36"/>
      <c r="K150" s="29"/>
      <c r="L150" s="29"/>
      <c r="M150" s="31"/>
      <c r="N150" s="39">
        <f t="shared" si="16"/>
        <v>0</v>
      </c>
      <c r="P150" s="4" t="str">
        <f t="shared" si="17"/>
        <v/>
      </c>
      <c r="Q150" s="4" t="str">
        <f t="shared" si="18"/>
        <v/>
      </c>
      <c r="R150" s="4" t="str">
        <f t="shared" si="19"/>
        <v>/</v>
      </c>
      <c r="S150" s="4" t="str">
        <f t="shared" si="20"/>
        <v/>
      </c>
    </row>
    <row r="151" spans="1:19" x14ac:dyDescent="0.35">
      <c r="A151" s="54"/>
      <c r="B151" s="57"/>
      <c r="C151" s="60"/>
      <c r="D151" s="7" t="str">
        <f t="shared" si="14"/>
        <v/>
      </c>
      <c r="E151" s="63" t="str">
        <f>IF(OR(C151="",A151=""),"",IF(A151&lt;'Page de garde'!$G$7,IF(VALUE(RIGHT(C151,2))&lt;50,76,96),INDEX(EC!$C$2:$C$677,MATCH(C151,EC,0))))</f>
        <v/>
      </c>
      <c r="F151" s="33" t="str">
        <f t="shared" si="15"/>
        <v/>
      </c>
      <c r="G151" s="38"/>
      <c r="H151" s="38"/>
      <c r="I151" s="38"/>
      <c r="J151" s="36"/>
      <c r="K151" s="29"/>
      <c r="L151" s="29"/>
      <c r="M151" s="31"/>
      <c r="N151" s="39">
        <f t="shared" si="16"/>
        <v>0</v>
      </c>
      <c r="P151" s="4" t="str">
        <f t="shared" si="17"/>
        <v/>
      </c>
      <c r="Q151" s="4" t="str">
        <f t="shared" si="18"/>
        <v/>
      </c>
      <c r="R151" s="4" t="str">
        <f t="shared" si="19"/>
        <v>/</v>
      </c>
      <c r="S151" s="4" t="str">
        <f t="shared" si="20"/>
        <v/>
      </c>
    </row>
    <row r="152" spans="1:19" x14ac:dyDescent="0.35">
      <c r="A152" s="54"/>
      <c r="B152" s="57"/>
      <c r="C152" s="60"/>
      <c r="D152" s="7" t="str">
        <f t="shared" si="14"/>
        <v/>
      </c>
      <c r="E152" s="63" t="str">
        <f>IF(OR(C152="",A152=""),"",IF(A152&lt;'Page de garde'!$G$7,IF(VALUE(RIGHT(C152,2))&lt;50,76,96),INDEX(EC!$C$2:$C$677,MATCH(C152,EC,0))))</f>
        <v/>
      </c>
      <c r="F152" s="33" t="str">
        <f t="shared" si="15"/>
        <v/>
      </c>
      <c r="G152" s="38"/>
      <c r="H152" s="38"/>
      <c r="I152" s="38"/>
      <c r="J152" s="36"/>
      <c r="K152" s="29"/>
      <c r="L152" s="29"/>
      <c r="M152" s="31"/>
      <c r="N152" s="39">
        <f t="shared" si="16"/>
        <v>0</v>
      </c>
      <c r="P152" s="4" t="str">
        <f t="shared" si="17"/>
        <v/>
      </c>
      <c r="Q152" s="4" t="str">
        <f t="shared" si="18"/>
        <v/>
      </c>
      <c r="R152" s="4" t="str">
        <f t="shared" si="19"/>
        <v>/</v>
      </c>
      <c r="S152" s="4" t="str">
        <f t="shared" si="20"/>
        <v/>
      </c>
    </row>
    <row r="153" spans="1:19" x14ac:dyDescent="0.35">
      <c r="A153" s="54"/>
      <c r="B153" s="57"/>
      <c r="C153" s="60"/>
      <c r="D153" s="7" t="str">
        <f t="shared" si="14"/>
        <v/>
      </c>
      <c r="E153" s="63" t="str">
        <f>IF(OR(C153="",A153=""),"",IF(A153&lt;'Page de garde'!$G$7,IF(VALUE(RIGHT(C153,2))&lt;50,76,96),INDEX(EC!$C$2:$C$677,MATCH(C153,EC,0))))</f>
        <v/>
      </c>
      <c r="F153" s="33" t="str">
        <f t="shared" si="15"/>
        <v/>
      </c>
      <c r="G153" s="38"/>
      <c r="H153" s="38"/>
      <c r="I153" s="38"/>
      <c r="J153" s="36"/>
      <c r="K153" s="29"/>
      <c r="L153" s="29"/>
      <c r="M153" s="31"/>
      <c r="N153" s="39">
        <f t="shared" si="16"/>
        <v>0</v>
      </c>
      <c r="P153" s="4" t="str">
        <f t="shared" si="17"/>
        <v/>
      </c>
      <c r="Q153" s="4" t="str">
        <f t="shared" si="18"/>
        <v/>
      </c>
      <c r="R153" s="4" t="str">
        <f t="shared" si="19"/>
        <v>/</v>
      </c>
      <c r="S153" s="4" t="str">
        <f t="shared" si="20"/>
        <v/>
      </c>
    </row>
    <row r="154" spans="1:19" x14ac:dyDescent="0.35">
      <c r="A154" s="54"/>
      <c r="B154" s="57"/>
      <c r="C154" s="60"/>
      <c r="D154" s="7" t="str">
        <f t="shared" si="14"/>
        <v/>
      </c>
      <c r="E154" s="63" t="str">
        <f>IF(OR(C154="",A154=""),"",IF(A154&lt;'Page de garde'!$G$7,IF(VALUE(RIGHT(C154,2))&lt;50,76,96),INDEX(EC!$C$2:$C$677,MATCH(C154,EC,0))))</f>
        <v/>
      </c>
      <c r="F154" s="33" t="str">
        <f t="shared" si="15"/>
        <v/>
      </c>
      <c r="G154" s="38"/>
      <c r="H154" s="38"/>
      <c r="I154" s="38"/>
      <c r="J154" s="36"/>
      <c r="K154" s="29"/>
      <c r="L154" s="29"/>
      <c r="M154" s="31"/>
      <c r="N154" s="39">
        <f t="shared" si="16"/>
        <v>0</v>
      </c>
      <c r="P154" s="4" t="str">
        <f t="shared" si="17"/>
        <v/>
      </c>
      <c r="Q154" s="4" t="str">
        <f t="shared" si="18"/>
        <v/>
      </c>
      <c r="R154" s="4" t="str">
        <f t="shared" si="19"/>
        <v>/</v>
      </c>
      <c r="S154" s="4" t="str">
        <f t="shared" si="20"/>
        <v/>
      </c>
    </row>
    <row r="155" spans="1:19" x14ac:dyDescent="0.35">
      <c r="A155" s="54"/>
      <c r="B155" s="57"/>
      <c r="C155" s="60"/>
      <c r="D155" s="7" t="str">
        <f t="shared" si="14"/>
        <v/>
      </c>
      <c r="E155" s="63" t="str">
        <f>IF(OR(C155="",A155=""),"",IF(A155&lt;'Page de garde'!$G$7,IF(VALUE(RIGHT(C155,2))&lt;50,76,96),INDEX(EC!$C$2:$C$677,MATCH(C155,EC,0))))</f>
        <v/>
      </c>
      <c r="F155" s="33" t="str">
        <f t="shared" si="15"/>
        <v/>
      </c>
      <c r="G155" s="38"/>
      <c r="H155" s="38"/>
      <c r="I155" s="38"/>
      <c r="J155" s="36"/>
      <c r="K155" s="29"/>
      <c r="L155" s="29"/>
      <c r="M155" s="31"/>
      <c r="N155" s="39">
        <f t="shared" si="16"/>
        <v>0</v>
      </c>
      <c r="P155" s="4" t="str">
        <f t="shared" si="17"/>
        <v/>
      </c>
      <c r="Q155" s="4" t="str">
        <f t="shared" si="18"/>
        <v/>
      </c>
      <c r="R155" s="4" t="str">
        <f t="shared" si="19"/>
        <v>/</v>
      </c>
      <c r="S155" s="4" t="str">
        <f t="shared" si="20"/>
        <v/>
      </c>
    </row>
    <row r="156" spans="1:19" x14ac:dyDescent="0.35">
      <c r="A156" s="54"/>
      <c r="B156" s="57"/>
      <c r="C156" s="60"/>
      <c r="D156" s="7" t="str">
        <f t="shared" si="14"/>
        <v/>
      </c>
      <c r="E156" s="63" t="str">
        <f>IF(OR(C156="",A156=""),"",IF(A156&lt;'Page de garde'!$G$7,IF(VALUE(RIGHT(C156,2))&lt;50,76,96),INDEX(EC!$C$2:$C$677,MATCH(C156,EC,0))))</f>
        <v/>
      </c>
      <c r="F156" s="33" t="str">
        <f t="shared" si="15"/>
        <v/>
      </c>
      <c r="G156" s="38"/>
      <c r="H156" s="38"/>
      <c r="I156" s="38"/>
      <c r="J156" s="36"/>
      <c r="K156" s="29"/>
      <c r="L156" s="29"/>
      <c r="M156" s="31"/>
      <c r="N156" s="39">
        <f t="shared" si="16"/>
        <v>0</v>
      </c>
      <c r="P156" s="4" t="str">
        <f t="shared" si="17"/>
        <v/>
      </c>
      <c r="Q156" s="4" t="str">
        <f t="shared" si="18"/>
        <v/>
      </c>
      <c r="R156" s="4" t="str">
        <f t="shared" si="19"/>
        <v>/</v>
      </c>
      <c r="S156" s="4" t="str">
        <f t="shared" si="20"/>
        <v/>
      </c>
    </row>
    <row r="157" spans="1:19" x14ac:dyDescent="0.35">
      <c r="A157" s="54"/>
      <c r="B157" s="57"/>
      <c r="C157" s="60"/>
      <c r="D157" s="7" t="str">
        <f t="shared" si="14"/>
        <v/>
      </c>
      <c r="E157" s="63" t="str">
        <f>IF(OR(C157="",A157=""),"",IF(A157&lt;'Page de garde'!$G$7,IF(VALUE(RIGHT(C157,2))&lt;50,76,96),INDEX(EC!$C$2:$C$677,MATCH(C157,EC,0))))</f>
        <v/>
      </c>
      <c r="F157" s="33" t="str">
        <f t="shared" si="15"/>
        <v/>
      </c>
      <c r="G157" s="38"/>
      <c r="H157" s="38"/>
      <c r="I157" s="38"/>
      <c r="J157" s="36"/>
      <c r="K157" s="29"/>
      <c r="L157" s="29"/>
      <c r="M157" s="31"/>
      <c r="N157" s="39">
        <f t="shared" si="16"/>
        <v>0</v>
      </c>
      <c r="P157" s="4" t="str">
        <f t="shared" si="17"/>
        <v/>
      </c>
      <c r="Q157" s="4" t="str">
        <f t="shared" si="18"/>
        <v/>
      </c>
      <c r="R157" s="4" t="str">
        <f t="shared" si="19"/>
        <v>/</v>
      </c>
      <c r="S157" s="4" t="str">
        <f t="shared" si="20"/>
        <v/>
      </c>
    </row>
    <row r="158" spans="1:19" x14ac:dyDescent="0.35">
      <c r="A158" s="54"/>
      <c r="B158" s="57"/>
      <c r="C158" s="60"/>
      <c r="D158" s="7" t="str">
        <f t="shared" si="14"/>
        <v/>
      </c>
      <c r="E158" s="63" t="str">
        <f>IF(OR(C158="",A158=""),"",IF(A158&lt;'Page de garde'!$G$7,IF(VALUE(RIGHT(C158,2))&lt;50,76,96),INDEX(EC!$C$2:$C$677,MATCH(C158,EC,0))))</f>
        <v/>
      </c>
      <c r="F158" s="33" t="str">
        <f t="shared" si="15"/>
        <v/>
      </c>
      <c r="G158" s="38"/>
      <c r="H158" s="38"/>
      <c r="I158" s="38"/>
      <c r="J158" s="36"/>
      <c r="K158" s="29"/>
      <c r="L158" s="29"/>
      <c r="M158" s="31"/>
      <c r="N158" s="39">
        <f t="shared" si="16"/>
        <v>0</v>
      </c>
      <c r="P158" s="4" t="str">
        <f t="shared" si="17"/>
        <v/>
      </c>
      <c r="Q158" s="4" t="str">
        <f t="shared" si="18"/>
        <v/>
      </c>
      <c r="R158" s="4" t="str">
        <f t="shared" si="19"/>
        <v>/</v>
      </c>
      <c r="S158" s="4" t="str">
        <f t="shared" si="20"/>
        <v/>
      </c>
    </row>
    <row r="159" spans="1:19" x14ac:dyDescent="0.35">
      <c r="A159" s="54"/>
      <c r="B159" s="57"/>
      <c r="C159" s="60"/>
      <c r="D159" s="7" t="str">
        <f t="shared" si="14"/>
        <v/>
      </c>
      <c r="E159" s="63" t="str">
        <f>IF(OR(C159="",A159=""),"",IF(A159&lt;'Page de garde'!$G$7,IF(VALUE(RIGHT(C159,2))&lt;50,76,96),INDEX(EC!$C$2:$C$677,MATCH(C159,EC,0))))</f>
        <v/>
      </c>
      <c r="F159" s="33" t="str">
        <f t="shared" si="15"/>
        <v/>
      </c>
      <c r="G159" s="38"/>
      <c r="H159" s="38"/>
      <c r="I159" s="38"/>
      <c r="J159" s="36"/>
      <c r="K159" s="29"/>
      <c r="L159" s="29"/>
      <c r="M159" s="31"/>
      <c r="N159" s="39">
        <f t="shared" si="16"/>
        <v>0</v>
      </c>
      <c r="P159" s="4" t="str">
        <f t="shared" si="17"/>
        <v/>
      </c>
      <c r="Q159" s="4" t="str">
        <f t="shared" si="18"/>
        <v/>
      </c>
      <c r="R159" s="4" t="str">
        <f t="shared" si="19"/>
        <v>/</v>
      </c>
      <c r="S159" s="4" t="str">
        <f t="shared" si="20"/>
        <v/>
      </c>
    </row>
    <row r="160" spans="1:19" x14ac:dyDescent="0.35">
      <c r="A160" s="54"/>
      <c r="B160" s="57"/>
      <c r="C160" s="60"/>
      <c r="D160" s="7" t="str">
        <f t="shared" si="14"/>
        <v/>
      </c>
      <c r="E160" s="63" t="str">
        <f>IF(OR(C160="",A160=""),"",IF(A160&lt;'Page de garde'!$G$7,IF(VALUE(RIGHT(C160,2))&lt;50,76,96),INDEX(EC!$C$2:$C$677,MATCH(C160,EC,0))))</f>
        <v/>
      </c>
      <c r="F160" s="33" t="str">
        <f t="shared" si="15"/>
        <v/>
      </c>
      <c r="G160" s="38"/>
      <c r="H160" s="38"/>
      <c r="I160" s="38"/>
      <c r="J160" s="36"/>
      <c r="K160" s="29"/>
      <c r="L160" s="29"/>
      <c r="M160" s="31"/>
      <c r="N160" s="39">
        <f t="shared" si="16"/>
        <v>0</v>
      </c>
      <c r="P160" s="4" t="str">
        <f t="shared" si="17"/>
        <v/>
      </c>
      <c r="Q160" s="4" t="str">
        <f t="shared" si="18"/>
        <v/>
      </c>
      <c r="R160" s="4" t="str">
        <f t="shared" si="19"/>
        <v>/</v>
      </c>
      <c r="S160" s="4" t="str">
        <f t="shared" si="20"/>
        <v/>
      </c>
    </row>
    <row r="161" spans="1:19" x14ac:dyDescent="0.35">
      <c r="A161" s="54"/>
      <c r="B161" s="57"/>
      <c r="C161" s="60"/>
      <c r="D161" s="7" t="str">
        <f t="shared" si="14"/>
        <v/>
      </c>
      <c r="E161" s="63" t="str">
        <f>IF(OR(C161="",A161=""),"",IF(A161&lt;'Page de garde'!$G$7,IF(VALUE(RIGHT(C161,2))&lt;50,76,96),INDEX(EC!$C$2:$C$677,MATCH(C161,EC,0))))</f>
        <v/>
      </c>
      <c r="F161" s="33" t="str">
        <f t="shared" si="15"/>
        <v/>
      </c>
      <c r="G161" s="38"/>
      <c r="H161" s="38"/>
      <c r="I161" s="38"/>
      <c r="J161" s="36"/>
      <c r="K161" s="29"/>
      <c r="L161" s="29"/>
      <c r="M161" s="31"/>
      <c r="N161" s="39">
        <f t="shared" si="16"/>
        <v>0</v>
      </c>
      <c r="P161" s="4" t="str">
        <f t="shared" si="17"/>
        <v/>
      </c>
      <c r="Q161" s="4" t="str">
        <f t="shared" si="18"/>
        <v/>
      </c>
      <c r="R161" s="4" t="str">
        <f t="shared" si="19"/>
        <v>/</v>
      </c>
      <c r="S161" s="4" t="str">
        <f t="shared" si="20"/>
        <v/>
      </c>
    </row>
    <row r="162" spans="1:19" x14ac:dyDescent="0.35">
      <c r="A162" s="54"/>
      <c r="B162" s="57"/>
      <c r="C162" s="60"/>
      <c r="D162" s="7" t="str">
        <f t="shared" si="14"/>
        <v/>
      </c>
      <c r="E162" s="63" t="str">
        <f>IF(OR(C162="",A162=""),"",IF(A162&lt;'Page de garde'!$G$7,IF(VALUE(RIGHT(C162,2))&lt;50,76,96),INDEX(EC!$C$2:$C$677,MATCH(C162,EC,0))))</f>
        <v/>
      </c>
      <c r="F162" s="33" t="str">
        <f t="shared" si="15"/>
        <v/>
      </c>
      <c r="G162" s="38"/>
      <c r="H162" s="38"/>
      <c r="I162" s="38"/>
      <c r="J162" s="36"/>
      <c r="K162" s="29"/>
      <c r="L162" s="29"/>
      <c r="M162" s="31"/>
      <c r="N162" s="39">
        <f t="shared" si="16"/>
        <v>0</v>
      </c>
      <c r="P162" s="4" t="str">
        <f t="shared" si="17"/>
        <v/>
      </c>
      <c r="Q162" s="4" t="str">
        <f t="shared" si="18"/>
        <v/>
      </c>
      <c r="R162" s="4" t="str">
        <f t="shared" si="19"/>
        <v>/</v>
      </c>
      <c r="S162" s="4" t="str">
        <f t="shared" si="20"/>
        <v/>
      </c>
    </row>
    <row r="163" spans="1:19" x14ac:dyDescent="0.35">
      <c r="A163" s="54"/>
      <c r="B163" s="57"/>
      <c r="C163" s="60"/>
      <c r="D163" s="7" t="str">
        <f t="shared" si="14"/>
        <v/>
      </c>
      <c r="E163" s="63" t="str">
        <f>IF(OR(C163="",A163=""),"",IF(A163&lt;'Page de garde'!$G$7,IF(VALUE(RIGHT(C163,2))&lt;50,76,96),INDEX(EC!$C$2:$C$677,MATCH(C163,EC,0))))</f>
        <v/>
      </c>
      <c r="F163" s="33" t="str">
        <f t="shared" si="15"/>
        <v/>
      </c>
      <c r="G163" s="38"/>
      <c r="H163" s="38"/>
      <c r="I163" s="38"/>
      <c r="J163" s="36"/>
      <c r="K163" s="29"/>
      <c r="L163" s="29"/>
      <c r="M163" s="31"/>
      <c r="N163" s="39">
        <f t="shared" si="16"/>
        <v>0</v>
      </c>
      <c r="P163" s="4" t="str">
        <f t="shared" si="17"/>
        <v/>
      </c>
      <c r="Q163" s="4" t="str">
        <f t="shared" si="18"/>
        <v/>
      </c>
      <c r="R163" s="4" t="str">
        <f t="shared" si="19"/>
        <v>/</v>
      </c>
      <c r="S163" s="4" t="str">
        <f t="shared" si="20"/>
        <v/>
      </c>
    </row>
    <row r="164" spans="1:19" x14ac:dyDescent="0.35">
      <c r="A164" s="54"/>
      <c r="B164" s="57"/>
      <c r="C164" s="60"/>
      <c r="D164" s="7" t="str">
        <f t="shared" si="14"/>
        <v/>
      </c>
      <c r="E164" s="63" t="str">
        <f>IF(OR(C164="",A164=""),"",IF(A164&lt;'Page de garde'!$G$7,IF(VALUE(RIGHT(C164,2))&lt;50,76,96),INDEX(EC!$C$2:$C$677,MATCH(C164,EC,0))))</f>
        <v/>
      </c>
      <c r="F164" s="33" t="str">
        <f t="shared" si="15"/>
        <v/>
      </c>
      <c r="G164" s="38"/>
      <c r="H164" s="38"/>
      <c r="I164" s="38"/>
      <c r="J164" s="36"/>
      <c r="K164" s="29"/>
      <c r="L164" s="29"/>
      <c r="M164" s="31"/>
      <c r="N164" s="39">
        <f t="shared" si="16"/>
        <v>0</v>
      </c>
      <c r="P164" s="4" t="str">
        <f t="shared" si="17"/>
        <v/>
      </c>
      <c r="Q164" s="4" t="str">
        <f t="shared" si="18"/>
        <v/>
      </c>
      <c r="R164" s="4" t="str">
        <f t="shared" si="19"/>
        <v>/</v>
      </c>
      <c r="S164" s="4" t="str">
        <f t="shared" si="20"/>
        <v/>
      </c>
    </row>
    <row r="165" spans="1:19" x14ac:dyDescent="0.35">
      <c r="A165" s="54"/>
      <c r="B165" s="57"/>
      <c r="C165" s="60"/>
      <c r="D165" s="7" t="str">
        <f t="shared" si="14"/>
        <v/>
      </c>
      <c r="E165" s="63" t="str">
        <f>IF(OR(C165="",A165=""),"",IF(A165&lt;'Page de garde'!$G$7,IF(VALUE(RIGHT(C165,2))&lt;50,76,96),INDEX(EC!$C$2:$C$677,MATCH(C165,EC,0))))</f>
        <v/>
      </c>
      <c r="F165" s="33" t="str">
        <f t="shared" si="15"/>
        <v/>
      </c>
      <c r="G165" s="38"/>
      <c r="H165" s="38"/>
      <c r="I165" s="38"/>
      <c r="J165" s="36"/>
      <c r="K165" s="29"/>
      <c r="L165" s="29"/>
      <c r="M165" s="31"/>
      <c r="N165" s="39">
        <f t="shared" si="16"/>
        <v>0</v>
      </c>
      <c r="P165" s="4" t="str">
        <f t="shared" si="17"/>
        <v/>
      </c>
      <c r="Q165" s="4" t="str">
        <f t="shared" si="18"/>
        <v/>
      </c>
      <c r="R165" s="4" t="str">
        <f t="shared" si="19"/>
        <v>/</v>
      </c>
      <c r="S165" s="4" t="str">
        <f t="shared" si="20"/>
        <v/>
      </c>
    </row>
    <row r="166" spans="1:19" x14ac:dyDescent="0.35">
      <c r="A166" s="54"/>
      <c r="B166" s="57"/>
      <c r="C166" s="60"/>
      <c r="D166" s="7" t="str">
        <f t="shared" si="14"/>
        <v/>
      </c>
      <c r="E166" s="63" t="str">
        <f>IF(OR(C166="",A166=""),"",IF(A166&lt;'Page de garde'!$G$7,IF(VALUE(RIGHT(C166,2))&lt;50,76,96),INDEX(EC!$C$2:$C$677,MATCH(C166,EC,0))))</f>
        <v/>
      </c>
      <c r="F166" s="33" t="str">
        <f t="shared" si="15"/>
        <v/>
      </c>
      <c r="G166" s="38"/>
      <c r="H166" s="38"/>
      <c r="I166" s="38"/>
      <c r="J166" s="36"/>
      <c r="K166" s="29"/>
      <c r="L166" s="29"/>
      <c r="M166" s="31"/>
      <c r="N166" s="39">
        <f t="shared" si="16"/>
        <v>0</v>
      </c>
      <c r="P166" s="4" t="str">
        <f t="shared" si="17"/>
        <v/>
      </c>
      <c r="Q166" s="4" t="str">
        <f t="shared" si="18"/>
        <v/>
      </c>
      <c r="R166" s="4" t="str">
        <f t="shared" si="19"/>
        <v>/</v>
      </c>
      <c r="S166" s="4" t="str">
        <f t="shared" si="20"/>
        <v/>
      </c>
    </row>
    <row r="167" spans="1:19" x14ac:dyDescent="0.35">
      <c r="A167" s="54"/>
      <c r="B167" s="57"/>
      <c r="C167" s="60"/>
      <c r="D167" s="7" t="str">
        <f t="shared" si="14"/>
        <v/>
      </c>
      <c r="E167" s="63" t="str">
        <f>IF(OR(C167="",A167=""),"",IF(A167&lt;'Page de garde'!$G$7,IF(VALUE(RIGHT(C167,2))&lt;50,76,96),INDEX(EC!$C$2:$C$677,MATCH(C167,EC,0))))</f>
        <v/>
      </c>
      <c r="F167" s="33" t="str">
        <f t="shared" si="15"/>
        <v/>
      </c>
      <c r="G167" s="38"/>
      <c r="H167" s="38"/>
      <c r="I167" s="38"/>
      <c r="J167" s="36"/>
      <c r="K167" s="29"/>
      <c r="L167" s="29"/>
      <c r="M167" s="31"/>
      <c r="N167" s="39">
        <f t="shared" si="16"/>
        <v>0</v>
      </c>
      <c r="P167" s="4" t="str">
        <f t="shared" si="17"/>
        <v/>
      </c>
      <c r="Q167" s="4" t="str">
        <f t="shared" si="18"/>
        <v/>
      </c>
      <c r="R167" s="4" t="str">
        <f t="shared" si="19"/>
        <v>/</v>
      </c>
      <c r="S167" s="4" t="str">
        <f t="shared" si="20"/>
        <v/>
      </c>
    </row>
    <row r="168" spans="1:19" x14ac:dyDescent="0.35">
      <c r="A168" s="54"/>
      <c r="B168" s="57"/>
      <c r="C168" s="60"/>
      <c r="D168" s="7" t="str">
        <f t="shared" si="14"/>
        <v/>
      </c>
      <c r="E168" s="63" t="str">
        <f>IF(OR(C168="",A168=""),"",IF(A168&lt;'Page de garde'!$G$7,IF(VALUE(RIGHT(C168,2))&lt;50,76,96),INDEX(EC!$C$2:$C$677,MATCH(C168,EC,0))))</f>
        <v/>
      </c>
      <c r="F168" s="33" t="str">
        <f t="shared" si="15"/>
        <v/>
      </c>
      <c r="G168" s="38"/>
      <c r="H168" s="38"/>
      <c r="I168" s="38"/>
      <c r="J168" s="36"/>
      <c r="K168" s="29"/>
      <c r="L168" s="29"/>
      <c r="M168" s="31"/>
      <c r="N168" s="39">
        <f t="shared" si="16"/>
        <v>0</v>
      </c>
      <c r="P168" s="4" t="str">
        <f t="shared" si="17"/>
        <v/>
      </c>
      <c r="Q168" s="4" t="str">
        <f t="shared" si="18"/>
        <v/>
      </c>
      <c r="R168" s="4" t="str">
        <f t="shared" si="19"/>
        <v>/</v>
      </c>
      <c r="S168" s="4" t="str">
        <f t="shared" si="20"/>
        <v/>
      </c>
    </row>
    <row r="169" spans="1:19" x14ac:dyDescent="0.35">
      <c r="A169" s="54"/>
      <c r="B169" s="57"/>
      <c r="C169" s="60"/>
      <c r="D169" s="7" t="str">
        <f t="shared" si="14"/>
        <v/>
      </c>
      <c r="E169" s="63" t="str">
        <f>IF(OR(C169="",A169=""),"",IF(A169&lt;'Page de garde'!$G$7,IF(VALUE(RIGHT(C169,2))&lt;50,76,96),INDEX(EC!$C$2:$C$677,MATCH(C169,EC,0))))</f>
        <v/>
      </c>
      <c r="F169" s="33" t="str">
        <f t="shared" si="15"/>
        <v/>
      </c>
      <c r="G169" s="38"/>
      <c r="H169" s="38"/>
      <c r="I169" s="38"/>
      <c r="J169" s="36"/>
      <c r="K169" s="29"/>
      <c r="L169" s="29"/>
      <c r="M169" s="31"/>
      <c r="N169" s="39">
        <f t="shared" si="16"/>
        <v>0</v>
      </c>
      <c r="P169" s="4" t="str">
        <f t="shared" si="17"/>
        <v/>
      </c>
      <c r="Q169" s="4" t="str">
        <f t="shared" si="18"/>
        <v/>
      </c>
      <c r="R169" s="4" t="str">
        <f t="shared" si="19"/>
        <v>/</v>
      </c>
      <c r="S169" s="4" t="str">
        <f t="shared" si="20"/>
        <v/>
      </c>
    </row>
    <row r="170" spans="1:19" x14ac:dyDescent="0.35">
      <c r="A170" s="54"/>
      <c r="B170" s="57"/>
      <c r="C170" s="60"/>
      <c r="D170" s="7" t="str">
        <f t="shared" si="14"/>
        <v/>
      </c>
      <c r="E170" s="63" t="str">
        <f>IF(OR(C170="",A170=""),"",IF(A170&lt;'Page de garde'!$G$7,IF(VALUE(RIGHT(C170,2))&lt;50,76,96),INDEX(EC!$C$2:$C$677,MATCH(C170,EC,0))))</f>
        <v/>
      </c>
      <c r="F170" s="33" t="str">
        <f t="shared" si="15"/>
        <v/>
      </c>
      <c r="G170" s="38"/>
      <c r="H170" s="38"/>
      <c r="I170" s="38"/>
      <c r="J170" s="36"/>
      <c r="K170" s="29"/>
      <c r="L170" s="29"/>
      <c r="M170" s="31"/>
      <c r="N170" s="39">
        <f t="shared" si="16"/>
        <v>0</v>
      </c>
      <c r="P170" s="4" t="str">
        <f t="shared" si="17"/>
        <v/>
      </c>
      <c r="Q170" s="4" t="str">
        <f t="shared" si="18"/>
        <v/>
      </c>
      <c r="R170" s="4" t="str">
        <f t="shared" si="19"/>
        <v>/</v>
      </c>
      <c r="S170" s="4" t="str">
        <f t="shared" si="20"/>
        <v/>
      </c>
    </row>
    <row r="171" spans="1:19" x14ac:dyDescent="0.35">
      <c r="A171" s="54"/>
      <c r="B171" s="57"/>
      <c r="C171" s="60"/>
      <c r="D171" s="7" t="str">
        <f t="shared" si="14"/>
        <v/>
      </c>
      <c r="E171" s="63" t="str">
        <f>IF(OR(C171="",A171=""),"",IF(A171&lt;'Page de garde'!$G$7,IF(VALUE(RIGHT(C171,2))&lt;50,76,96),INDEX(EC!$C$2:$C$677,MATCH(C171,EC,0))))</f>
        <v/>
      </c>
      <c r="F171" s="33" t="str">
        <f t="shared" si="15"/>
        <v/>
      </c>
      <c r="G171" s="38"/>
      <c r="H171" s="38"/>
      <c r="I171" s="38"/>
      <c r="J171" s="36"/>
      <c r="K171" s="29"/>
      <c r="L171" s="29"/>
      <c r="M171" s="31"/>
      <c r="N171" s="39">
        <f t="shared" si="16"/>
        <v>0</v>
      </c>
      <c r="P171" s="4" t="str">
        <f t="shared" si="17"/>
        <v/>
      </c>
      <c r="Q171" s="4" t="str">
        <f t="shared" si="18"/>
        <v/>
      </c>
      <c r="R171" s="4" t="str">
        <f t="shared" si="19"/>
        <v>/</v>
      </c>
      <c r="S171" s="4" t="str">
        <f t="shared" si="20"/>
        <v/>
      </c>
    </row>
    <row r="172" spans="1:19" x14ac:dyDescent="0.35">
      <c r="A172" s="54"/>
      <c r="B172" s="57"/>
      <c r="C172" s="60"/>
      <c r="D172" s="7" t="str">
        <f t="shared" si="14"/>
        <v/>
      </c>
      <c r="E172" s="63" t="str">
        <f>IF(OR(C172="",A172=""),"",IF(A172&lt;'Page de garde'!$G$7,IF(VALUE(RIGHT(C172,2))&lt;50,76,96),INDEX(EC!$C$2:$C$677,MATCH(C172,EC,0))))</f>
        <v/>
      </c>
      <c r="F172" s="33" t="str">
        <f t="shared" si="15"/>
        <v/>
      </c>
      <c r="G172" s="38"/>
      <c r="H172" s="38"/>
      <c r="I172" s="38"/>
      <c r="J172" s="36"/>
      <c r="K172" s="29"/>
      <c r="L172" s="29"/>
      <c r="M172" s="31"/>
      <c r="N172" s="39">
        <f t="shared" si="16"/>
        <v>0</v>
      </c>
      <c r="P172" s="4" t="str">
        <f t="shared" si="17"/>
        <v/>
      </c>
      <c r="Q172" s="4" t="str">
        <f t="shared" si="18"/>
        <v/>
      </c>
      <c r="R172" s="4" t="str">
        <f t="shared" si="19"/>
        <v>/</v>
      </c>
      <c r="S172" s="4" t="str">
        <f t="shared" si="20"/>
        <v/>
      </c>
    </row>
    <row r="173" spans="1:19" x14ac:dyDescent="0.35">
      <c r="A173" s="54"/>
      <c r="B173" s="57"/>
      <c r="C173" s="60"/>
      <c r="D173" s="7" t="str">
        <f t="shared" si="14"/>
        <v/>
      </c>
      <c r="E173" s="63" t="str">
        <f>IF(OR(C173="",A173=""),"",IF(A173&lt;'Page de garde'!$G$7,IF(VALUE(RIGHT(C173,2))&lt;50,76,96),INDEX(EC!$C$2:$C$677,MATCH(C173,EC,0))))</f>
        <v/>
      </c>
      <c r="F173" s="33" t="str">
        <f t="shared" si="15"/>
        <v/>
      </c>
      <c r="G173" s="38"/>
      <c r="H173" s="38"/>
      <c r="I173" s="38"/>
      <c r="J173" s="36"/>
      <c r="K173" s="29"/>
      <c r="L173" s="29"/>
      <c r="M173" s="31"/>
      <c r="N173" s="39">
        <f t="shared" si="16"/>
        <v>0</v>
      </c>
      <c r="P173" s="4" t="str">
        <f t="shared" si="17"/>
        <v/>
      </c>
      <c r="Q173" s="4" t="str">
        <f t="shared" si="18"/>
        <v/>
      </c>
      <c r="R173" s="4" t="str">
        <f t="shared" si="19"/>
        <v>/</v>
      </c>
      <c r="S173" s="4" t="str">
        <f t="shared" si="20"/>
        <v/>
      </c>
    </row>
    <row r="174" spans="1:19" x14ac:dyDescent="0.35">
      <c r="A174" s="54"/>
      <c r="B174" s="57"/>
      <c r="C174" s="60"/>
      <c r="D174" s="7" t="str">
        <f t="shared" si="14"/>
        <v/>
      </c>
      <c r="E174" s="63" t="str">
        <f>IF(OR(C174="",A174=""),"",IF(A174&lt;'Page de garde'!$G$7,IF(VALUE(RIGHT(C174,2))&lt;50,76,96),INDEX(EC!$C$2:$C$677,MATCH(C174,EC,0))))</f>
        <v/>
      </c>
      <c r="F174" s="33" t="str">
        <f t="shared" si="15"/>
        <v/>
      </c>
      <c r="G174" s="38"/>
      <c r="H174" s="38"/>
      <c r="I174" s="38"/>
      <c r="J174" s="36"/>
      <c r="K174" s="29"/>
      <c r="L174" s="29"/>
      <c r="M174" s="31"/>
      <c r="N174" s="39">
        <f t="shared" si="16"/>
        <v>0</v>
      </c>
      <c r="P174" s="4" t="str">
        <f t="shared" si="17"/>
        <v/>
      </c>
      <c r="Q174" s="4" t="str">
        <f t="shared" si="18"/>
        <v/>
      </c>
      <c r="R174" s="4" t="str">
        <f t="shared" si="19"/>
        <v>/</v>
      </c>
      <c r="S174" s="4" t="str">
        <f t="shared" si="20"/>
        <v/>
      </c>
    </row>
    <row r="175" spans="1:19" x14ac:dyDescent="0.35">
      <c r="A175" s="54"/>
      <c r="B175" s="57"/>
      <c r="C175" s="60"/>
      <c r="D175" s="7" t="str">
        <f t="shared" si="14"/>
        <v/>
      </c>
      <c r="E175" s="63" t="str">
        <f>IF(OR(C175="",A175=""),"",IF(A175&lt;'Page de garde'!$G$7,IF(VALUE(RIGHT(C175,2))&lt;50,76,96),INDEX(EC!$C$2:$C$677,MATCH(C175,EC,0))))</f>
        <v/>
      </c>
      <c r="F175" s="33" t="str">
        <f t="shared" si="15"/>
        <v/>
      </c>
      <c r="G175" s="38"/>
      <c r="H175" s="38"/>
      <c r="I175" s="38"/>
      <c r="J175" s="36"/>
      <c r="K175" s="29"/>
      <c r="L175" s="29"/>
      <c r="M175" s="31"/>
      <c r="N175" s="39">
        <f t="shared" si="16"/>
        <v>0</v>
      </c>
      <c r="P175" s="4" t="str">
        <f t="shared" si="17"/>
        <v/>
      </c>
      <c r="Q175" s="4" t="str">
        <f t="shared" si="18"/>
        <v/>
      </c>
      <c r="R175" s="4" t="str">
        <f t="shared" si="19"/>
        <v>/</v>
      </c>
      <c r="S175" s="4" t="str">
        <f t="shared" si="20"/>
        <v/>
      </c>
    </row>
    <row r="176" spans="1:19" x14ac:dyDescent="0.35">
      <c r="A176" s="54"/>
      <c r="B176" s="57"/>
      <c r="C176" s="60"/>
      <c r="D176" s="7" t="str">
        <f t="shared" si="14"/>
        <v/>
      </c>
      <c r="E176" s="63" t="str">
        <f>IF(OR(C176="",A176=""),"",IF(A176&lt;'Page de garde'!$G$7,IF(VALUE(RIGHT(C176,2))&lt;50,76,96),INDEX(EC!$C$2:$C$677,MATCH(C176,EC,0))))</f>
        <v/>
      </c>
      <c r="F176" s="33" t="str">
        <f t="shared" si="15"/>
        <v/>
      </c>
      <c r="G176" s="38"/>
      <c r="H176" s="38"/>
      <c r="I176" s="38"/>
      <c r="J176" s="36"/>
      <c r="K176" s="29"/>
      <c r="L176" s="29"/>
      <c r="M176" s="31"/>
      <c r="N176" s="39">
        <f t="shared" si="16"/>
        <v>0</v>
      </c>
      <c r="P176" s="4" t="str">
        <f t="shared" si="17"/>
        <v/>
      </c>
      <c r="Q176" s="4" t="str">
        <f t="shared" si="18"/>
        <v/>
      </c>
      <c r="R176" s="4" t="str">
        <f t="shared" si="19"/>
        <v>/</v>
      </c>
      <c r="S176" s="4" t="str">
        <f t="shared" si="20"/>
        <v/>
      </c>
    </row>
    <row r="177" spans="1:19" x14ac:dyDescent="0.35">
      <c r="A177" s="54"/>
      <c r="B177" s="57"/>
      <c r="C177" s="60"/>
      <c r="D177" s="7" t="str">
        <f t="shared" si="14"/>
        <v/>
      </c>
      <c r="E177" s="63" t="str">
        <f>IF(OR(C177="",A177=""),"",IF(A177&lt;'Page de garde'!$G$7,IF(VALUE(RIGHT(C177,2))&lt;50,76,96),INDEX(EC!$C$2:$C$677,MATCH(C177,EC,0))))</f>
        <v/>
      </c>
      <c r="F177" s="33" t="str">
        <f t="shared" si="15"/>
        <v/>
      </c>
      <c r="G177" s="38"/>
      <c r="H177" s="38"/>
      <c r="I177" s="38"/>
      <c r="J177" s="36"/>
      <c r="K177" s="29"/>
      <c r="L177" s="29"/>
      <c r="M177" s="31"/>
      <c r="N177" s="39">
        <f t="shared" si="16"/>
        <v>0</v>
      </c>
      <c r="P177" s="4" t="str">
        <f t="shared" si="17"/>
        <v/>
      </c>
      <c r="Q177" s="4" t="str">
        <f t="shared" si="18"/>
        <v/>
      </c>
      <c r="R177" s="4" t="str">
        <f t="shared" si="19"/>
        <v>/</v>
      </c>
      <c r="S177" s="4" t="str">
        <f t="shared" si="20"/>
        <v/>
      </c>
    </row>
    <row r="178" spans="1:19" x14ac:dyDescent="0.35">
      <c r="A178" s="54"/>
      <c r="B178" s="57"/>
      <c r="C178" s="60"/>
      <c r="D178" s="7" t="str">
        <f t="shared" si="14"/>
        <v/>
      </c>
      <c r="E178" s="63" t="str">
        <f>IF(OR(C178="",A178=""),"",IF(A178&lt;'Page de garde'!$G$7,IF(VALUE(RIGHT(C178,2))&lt;50,76,96),INDEX(EC!$C$2:$C$677,MATCH(C178,EC,0))))</f>
        <v/>
      </c>
      <c r="F178" s="33" t="str">
        <f t="shared" si="15"/>
        <v/>
      </c>
      <c r="G178" s="38"/>
      <c r="H178" s="38"/>
      <c r="I178" s="38"/>
      <c r="J178" s="36"/>
      <c r="K178" s="29"/>
      <c r="L178" s="29"/>
      <c r="M178" s="31"/>
      <c r="N178" s="39">
        <f t="shared" si="16"/>
        <v>0</v>
      </c>
      <c r="P178" s="4" t="str">
        <f t="shared" si="17"/>
        <v/>
      </c>
      <c r="Q178" s="4" t="str">
        <f t="shared" si="18"/>
        <v/>
      </c>
      <c r="R178" s="4" t="str">
        <f t="shared" si="19"/>
        <v>/</v>
      </c>
      <c r="S178" s="4" t="str">
        <f t="shared" si="20"/>
        <v/>
      </c>
    </row>
    <row r="179" spans="1:19" x14ac:dyDescent="0.35">
      <c r="A179" s="54"/>
      <c r="B179" s="57"/>
      <c r="C179" s="60"/>
      <c r="D179" s="7" t="str">
        <f t="shared" si="14"/>
        <v/>
      </c>
      <c r="E179" s="63" t="str">
        <f>IF(OR(C179="",A179=""),"",IF(A179&lt;'Page de garde'!$G$7,IF(VALUE(RIGHT(C179,2))&lt;50,76,96),INDEX(EC!$C$2:$C$677,MATCH(C179,EC,0))))</f>
        <v/>
      </c>
      <c r="F179" s="33" t="str">
        <f t="shared" si="15"/>
        <v/>
      </c>
      <c r="G179" s="38"/>
      <c r="H179" s="38"/>
      <c r="I179" s="38"/>
      <c r="J179" s="36"/>
      <c r="K179" s="29"/>
      <c r="L179" s="29"/>
      <c r="M179" s="31"/>
      <c r="N179" s="39">
        <f t="shared" si="16"/>
        <v>0</v>
      </c>
      <c r="P179" s="4" t="str">
        <f t="shared" si="17"/>
        <v/>
      </c>
      <c r="Q179" s="4" t="str">
        <f t="shared" si="18"/>
        <v/>
      </c>
      <c r="R179" s="4" t="str">
        <f t="shared" si="19"/>
        <v>/</v>
      </c>
      <c r="S179" s="4" t="str">
        <f t="shared" si="20"/>
        <v/>
      </c>
    </row>
    <row r="180" spans="1:19" x14ac:dyDescent="0.35">
      <c r="A180" s="54"/>
      <c r="B180" s="57"/>
      <c r="C180" s="60"/>
      <c r="D180" s="7" t="str">
        <f t="shared" si="14"/>
        <v/>
      </c>
      <c r="E180" s="63" t="str">
        <f>IF(OR(C180="",A180=""),"",IF(A180&lt;'Page de garde'!$G$7,IF(VALUE(RIGHT(C180,2))&lt;50,76,96),INDEX(EC!$C$2:$C$677,MATCH(C180,EC,0))))</f>
        <v/>
      </c>
      <c r="F180" s="33" t="str">
        <f t="shared" si="15"/>
        <v/>
      </c>
      <c r="G180" s="38"/>
      <c r="H180" s="38"/>
      <c r="I180" s="38"/>
      <c r="J180" s="36"/>
      <c r="K180" s="29"/>
      <c r="L180" s="29"/>
      <c r="M180" s="31"/>
      <c r="N180" s="39">
        <f t="shared" si="16"/>
        <v>0</v>
      </c>
      <c r="P180" s="4" t="str">
        <f t="shared" si="17"/>
        <v/>
      </c>
      <c r="Q180" s="4" t="str">
        <f t="shared" si="18"/>
        <v/>
      </c>
      <c r="R180" s="4" t="str">
        <f t="shared" si="19"/>
        <v>/</v>
      </c>
      <c r="S180" s="4" t="str">
        <f t="shared" si="20"/>
        <v/>
      </c>
    </row>
    <row r="181" spans="1:19" x14ac:dyDescent="0.35">
      <c r="A181" s="54"/>
      <c r="B181" s="57"/>
      <c r="C181" s="60"/>
      <c r="D181" s="7" t="str">
        <f t="shared" si="14"/>
        <v/>
      </c>
      <c r="E181" s="63" t="str">
        <f>IF(OR(C181="",A181=""),"",IF(A181&lt;'Page de garde'!$G$7,IF(VALUE(RIGHT(C181,2))&lt;50,76,96),INDEX(EC!$C$2:$C$677,MATCH(C181,EC,0))))</f>
        <v/>
      </c>
      <c r="F181" s="33" t="str">
        <f t="shared" si="15"/>
        <v/>
      </c>
      <c r="G181" s="38"/>
      <c r="H181" s="38"/>
      <c r="I181" s="38"/>
      <c r="J181" s="36"/>
      <c r="K181" s="29"/>
      <c r="L181" s="29"/>
      <c r="M181" s="31"/>
      <c r="N181" s="39">
        <f t="shared" si="16"/>
        <v>0</v>
      </c>
      <c r="P181" s="4" t="str">
        <f t="shared" si="17"/>
        <v/>
      </c>
      <c r="Q181" s="4" t="str">
        <f t="shared" si="18"/>
        <v/>
      </c>
      <c r="R181" s="4" t="str">
        <f t="shared" si="19"/>
        <v>/</v>
      </c>
      <c r="S181" s="4" t="str">
        <f t="shared" si="20"/>
        <v/>
      </c>
    </row>
    <row r="182" spans="1:19" x14ac:dyDescent="0.35">
      <c r="A182" s="54"/>
      <c r="B182" s="57"/>
      <c r="C182" s="60"/>
      <c r="D182" s="7" t="str">
        <f t="shared" si="14"/>
        <v/>
      </c>
      <c r="E182" s="63" t="str">
        <f>IF(OR(C182="",A182=""),"",IF(A182&lt;'Page de garde'!$G$7,IF(VALUE(RIGHT(C182,2))&lt;50,76,96),INDEX(EC!$C$2:$C$677,MATCH(C182,EC,0))))</f>
        <v/>
      </c>
      <c r="F182" s="33" t="str">
        <f t="shared" si="15"/>
        <v/>
      </c>
      <c r="G182" s="38"/>
      <c r="H182" s="38"/>
      <c r="I182" s="38"/>
      <c r="J182" s="36"/>
      <c r="K182" s="29"/>
      <c r="L182" s="29"/>
      <c r="M182" s="31"/>
      <c r="N182" s="39">
        <f t="shared" si="16"/>
        <v>0</v>
      </c>
      <c r="P182" s="4" t="str">
        <f t="shared" si="17"/>
        <v/>
      </c>
      <c r="Q182" s="4" t="str">
        <f t="shared" si="18"/>
        <v/>
      </c>
      <c r="R182" s="4" t="str">
        <f t="shared" si="19"/>
        <v>/</v>
      </c>
      <c r="S182" s="4" t="str">
        <f t="shared" si="20"/>
        <v/>
      </c>
    </row>
    <row r="183" spans="1:19" x14ac:dyDescent="0.35">
      <c r="A183" s="54"/>
      <c r="B183" s="57"/>
      <c r="C183" s="60"/>
      <c r="D183" s="7" t="str">
        <f t="shared" si="14"/>
        <v/>
      </c>
      <c r="E183" s="63" t="str">
        <f>IF(OR(C183="",A183=""),"",IF(A183&lt;'Page de garde'!$G$7,IF(VALUE(RIGHT(C183,2))&lt;50,76,96),INDEX(EC!$C$2:$C$677,MATCH(C183,EC,0))))</f>
        <v/>
      </c>
      <c r="F183" s="33" t="str">
        <f t="shared" si="15"/>
        <v/>
      </c>
      <c r="G183" s="38"/>
      <c r="H183" s="38"/>
      <c r="I183" s="38"/>
      <c r="J183" s="36"/>
      <c r="K183" s="29"/>
      <c r="L183" s="29"/>
      <c r="M183" s="31"/>
      <c r="N183" s="39">
        <f t="shared" si="16"/>
        <v>0</v>
      </c>
      <c r="P183" s="4" t="str">
        <f t="shared" si="17"/>
        <v/>
      </c>
      <c r="Q183" s="4" t="str">
        <f t="shared" si="18"/>
        <v/>
      </c>
      <c r="R183" s="4" t="str">
        <f t="shared" si="19"/>
        <v>/</v>
      </c>
      <c r="S183" s="4" t="str">
        <f t="shared" si="20"/>
        <v/>
      </c>
    </row>
    <row r="184" spans="1:19" x14ac:dyDescent="0.35">
      <c r="A184" s="54"/>
      <c r="B184" s="57"/>
      <c r="C184" s="60"/>
      <c r="D184" s="7" t="str">
        <f t="shared" si="14"/>
        <v/>
      </c>
      <c r="E184" s="63" t="str">
        <f>IF(OR(C184="",A184=""),"",IF(A184&lt;'Page de garde'!$G$7,IF(VALUE(RIGHT(C184,2))&lt;50,76,96),INDEX(EC!$C$2:$C$677,MATCH(C184,EC,0))))</f>
        <v/>
      </c>
      <c r="F184" s="33" t="str">
        <f t="shared" si="15"/>
        <v/>
      </c>
      <c r="G184" s="38"/>
      <c r="H184" s="38"/>
      <c r="I184" s="38"/>
      <c r="J184" s="36"/>
      <c r="K184" s="29"/>
      <c r="L184" s="29"/>
      <c r="M184" s="31"/>
      <c r="N184" s="39">
        <f t="shared" si="16"/>
        <v>0</v>
      </c>
      <c r="P184" s="4" t="str">
        <f t="shared" si="17"/>
        <v/>
      </c>
      <c r="Q184" s="4" t="str">
        <f t="shared" si="18"/>
        <v/>
      </c>
      <c r="R184" s="4" t="str">
        <f t="shared" si="19"/>
        <v>/</v>
      </c>
      <c r="S184" s="4" t="str">
        <f t="shared" si="20"/>
        <v/>
      </c>
    </row>
    <row r="185" spans="1:19" x14ac:dyDescent="0.35">
      <c r="A185" s="54"/>
      <c r="B185" s="57"/>
      <c r="C185" s="60"/>
      <c r="D185" s="7" t="str">
        <f t="shared" si="14"/>
        <v/>
      </c>
      <c r="E185" s="63" t="str">
        <f>IF(OR(C185="",A185=""),"",IF(A185&lt;'Page de garde'!$G$7,IF(VALUE(RIGHT(C185,2))&lt;50,76,96),INDEX(EC!$C$2:$C$677,MATCH(C185,EC,0))))</f>
        <v/>
      </c>
      <c r="F185" s="33" t="str">
        <f t="shared" si="15"/>
        <v/>
      </c>
      <c r="G185" s="38"/>
      <c r="H185" s="38"/>
      <c r="I185" s="38"/>
      <c r="J185" s="36"/>
      <c r="K185" s="29"/>
      <c r="L185" s="29"/>
      <c r="M185" s="31"/>
      <c r="N185" s="39">
        <f t="shared" si="16"/>
        <v>0</v>
      </c>
      <c r="P185" s="4" t="str">
        <f t="shared" si="17"/>
        <v/>
      </c>
      <c r="Q185" s="4" t="str">
        <f t="shared" si="18"/>
        <v/>
      </c>
      <c r="R185" s="4" t="str">
        <f t="shared" si="19"/>
        <v>/</v>
      </c>
      <c r="S185" s="4" t="str">
        <f t="shared" si="20"/>
        <v/>
      </c>
    </row>
    <row r="186" spans="1:19" x14ac:dyDescent="0.35">
      <c r="A186" s="54"/>
      <c r="B186" s="57"/>
      <c r="C186" s="60"/>
      <c r="D186" s="7" t="str">
        <f t="shared" si="14"/>
        <v/>
      </c>
      <c r="E186" s="63" t="str">
        <f>IF(OR(C186="",A186=""),"",IF(A186&lt;'Page de garde'!$G$7,IF(VALUE(RIGHT(C186,2))&lt;50,76,96),INDEX(EC!$C$2:$C$677,MATCH(C186,EC,0))))</f>
        <v/>
      </c>
      <c r="F186" s="33" t="str">
        <f t="shared" si="15"/>
        <v/>
      </c>
      <c r="G186" s="38"/>
      <c r="H186" s="38"/>
      <c r="I186" s="38"/>
      <c r="J186" s="36"/>
      <c r="K186" s="29"/>
      <c r="L186" s="29"/>
      <c r="M186" s="31"/>
      <c r="N186" s="39">
        <f t="shared" si="16"/>
        <v>0</v>
      </c>
      <c r="P186" s="4" t="str">
        <f t="shared" si="17"/>
        <v/>
      </c>
      <c r="Q186" s="4" t="str">
        <f t="shared" si="18"/>
        <v/>
      </c>
      <c r="R186" s="4" t="str">
        <f t="shared" si="19"/>
        <v>/</v>
      </c>
      <c r="S186" s="4" t="str">
        <f t="shared" si="20"/>
        <v/>
      </c>
    </row>
    <row r="187" spans="1:19" x14ac:dyDescent="0.35">
      <c r="A187" s="54"/>
      <c r="B187" s="57"/>
      <c r="C187" s="60"/>
      <c r="D187" s="7" t="str">
        <f t="shared" si="14"/>
        <v/>
      </c>
      <c r="E187" s="63" t="str">
        <f>IF(OR(C187="",A187=""),"",IF(A187&lt;'Page de garde'!$G$7,IF(VALUE(RIGHT(C187,2))&lt;50,76,96),INDEX(EC!$C$2:$C$677,MATCH(C187,EC,0))))</f>
        <v/>
      </c>
      <c r="F187" s="33" t="str">
        <f t="shared" si="15"/>
        <v/>
      </c>
      <c r="G187" s="38"/>
      <c r="H187" s="38"/>
      <c r="I187" s="38"/>
      <c r="J187" s="36"/>
      <c r="K187" s="29"/>
      <c r="L187" s="29"/>
      <c r="M187" s="31"/>
      <c r="N187" s="39">
        <f t="shared" si="16"/>
        <v>0</v>
      </c>
      <c r="P187" s="4" t="str">
        <f t="shared" si="17"/>
        <v/>
      </c>
      <c r="Q187" s="4" t="str">
        <f t="shared" si="18"/>
        <v/>
      </c>
      <c r="R187" s="4" t="str">
        <f t="shared" si="19"/>
        <v>/</v>
      </c>
      <c r="S187" s="4" t="str">
        <f t="shared" si="20"/>
        <v/>
      </c>
    </row>
    <row r="188" spans="1:19" x14ac:dyDescent="0.35">
      <c r="A188" s="54"/>
      <c r="B188" s="57"/>
      <c r="C188" s="60"/>
      <c r="D188" s="7" t="str">
        <f t="shared" si="14"/>
        <v/>
      </c>
      <c r="E188" s="63" t="str">
        <f>IF(OR(C188="",A188=""),"",IF(A188&lt;'Page de garde'!$G$7,IF(VALUE(RIGHT(C188,2))&lt;50,76,96),INDEX(EC!$C$2:$C$677,MATCH(C188,EC,0))))</f>
        <v/>
      </c>
      <c r="F188" s="33" t="str">
        <f t="shared" si="15"/>
        <v/>
      </c>
      <c r="G188" s="38"/>
      <c r="H188" s="38"/>
      <c r="I188" s="38"/>
      <c r="J188" s="36"/>
      <c r="K188" s="29"/>
      <c r="L188" s="29"/>
      <c r="M188" s="31"/>
      <c r="N188" s="39">
        <f t="shared" si="16"/>
        <v>0</v>
      </c>
      <c r="P188" s="4" t="str">
        <f t="shared" si="17"/>
        <v/>
      </c>
      <c r="Q188" s="4" t="str">
        <f t="shared" si="18"/>
        <v/>
      </c>
      <c r="R188" s="4" t="str">
        <f t="shared" si="19"/>
        <v>/</v>
      </c>
      <c r="S188" s="4" t="str">
        <f t="shared" si="20"/>
        <v/>
      </c>
    </row>
    <row r="189" spans="1:19" x14ac:dyDescent="0.35">
      <c r="A189" s="54"/>
      <c r="B189" s="57"/>
      <c r="C189" s="60"/>
      <c r="D189" s="7" t="str">
        <f t="shared" si="14"/>
        <v/>
      </c>
      <c r="E189" s="63" t="str">
        <f>IF(OR(C189="",A189=""),"",IF(A189&lt;'Page de garde'!$G$7,IF(VALUE(RIGHT(C189,2))&lt;50,76,96),INDEX(EC!$C$2:$C$677,MATCH(C189,EC,0))))</f>
        <v/>
      </c>
      <c r="F189" s="33" t="str">
        <f t="shared" si="15"/>
        <v/>
      </c>
      <c r="G189" s="38"/>
      <c r="H189" s="38"/>
      <c r="I189" s="38"/>
      <c r="J189" s="36"/>
      <c r="K189" s="29"/>
      <c r="L189" s="29"/>
      <c r="M189" s="31"/>
      <c r="N189" s="39">
        <f t="shared" si="16"/>
        <v>0</v>
      </c>
      <c r="P189" s="4" t="str">
        <f t="shared" si="17"/>
        <v/>
      </c>
      <c r="Q189" s="4" t="str">
        <f t="shared" si="18"/>
        <v/>
      </c>
      <c r="R189" s="4" t="str">
        <f t="shared" si="19"/>
        <v>/</v>
      </c>
      <c r="S189" s="4" t="str">
        <f t="shared" si="20"/>
        <v/>
      </c>
    </row>
    <row r="190" spans="1:19" x14ac:dyDescent="0.35">
      <c r="A190" s="54"/>
      <c r="B190" s="57"/>
      <c r="C190" s="60"/>
      <c r="D190" s="7" t="str">
        <f t="shared" si="14"/>
        <v/>
      </c>
      <c r="E190" s="63" t="str">
        <f>IF(OR(C190="",A190=""),"",IF(A190&lt;'Page de garde'!$G$7,IF(VALUE(RIGHT(C190,2))&lt;50,76,96),INDEX(EC!$C$2:$C$677,MATCH(C190,EC,0))))</f>
        <v/>
      </c>
      <c r="F190" s="33" t="str">
        <f t="shared" si="15"/>
        <v/>
      </c>
      <c r="G190" s="38"/>
      <c r="H190" s="38"/>
      <c r="I190" s="38"/>
      <c r="J190" s="36"/>
      <c r="K190" s="29"/>
      <c r="L190" s="29"/>
      <c r="M190" s="31"/>
      <c r="N190" s="39">
        <f t="shared" si="16"/>
        <v>0</v>
      </c>
      <c r="P190" s="4" t="str">
        <f t="shared" si="17"/>
        <v/>
      </c>
      <c r="Q190" s="4" t="str">
        <f t="shared" si="18"/>
        <v/>
      </c>
      <c r="R190" s="4" t="str">
        <f t="shared" si="19"/>
        <v>/</v>
      </c>
      <c r="S190" s="4" t="str">
        <f t="shared" si="20"/>
        <v/>
      </c>
    </row>
    <row r="191" spans="1:19" x14ac:dyDescent="0.35">
      <c r="A191" s="54"/>
      <c r="B191" s="57"/>
      <c r="C191" s="60"/>
      <c r="D191" s="7" t="str">
        <f t="shared" si="14"/>
        <v/>
      </c>
      <c r="E191" s="63" t="str">
        <f>IF(OR(C191="",A191=""),"",IF(A191&lt;'Page de garde'!$G$7,IF(VALUE(RIGHT(C191,2))&lt;50,76,96),INDEX(EC!$C$2:$C$677,MATCH(C191,EC,0))))</f>
        <v/>
      </c>
      <c r="F191" s="33" t="str">
        <f t="shared" si="15"/>
        <v/>
      </c>
      <c r="G191" s="38"/>
      <c r="H191" s="38"/>
      <c r="I191" s="38"/>
      <c r="J191" s="36"/>
      <c r="K191" s="29"/>
      <c r="L191" s="29"/>
      <c r="M191" s="31"/>
      <c r="N191" s="39">
        <f t="shared" si="16"/>
        <v>0</v>
      </c>
      <c r="P191" s="4" t="str">
        <f t="shared" si="17"/>
        <v/>
      </c>
      <c r="Q191" s="4" t="str">
        <f t="shared" si="18"/>
        <v/>
      </c>
      <c r="R191" s="4" t="str">
        <f t="shared" si="19"/>
        <v>/</v>
      </c>
      <c r="S191" s="4" t="str">
        <f t="shared" si="20"/>
        <v/>
      </c>
    </row>
    <row r="192" spans="1:19" x14ac:dyDescent="0.35">
      <c r="A192" s="54"/>
      <c r="B192" s="57"/>
      <c r="C192" s="60"/>
      <c r="D192" s="7" t="str">
        <f t="shared" si="14"/>
        <v/>
      </c>
      <c r="E192" s="63" t="str">
        <f>IF(OR(C192="",A192=""),"",IF(A192&lt;'Page de garde'!$G$7,IF(VALUE(RIGHT(C192,2))&lt;50,76,96),INDEX(EC!$C$2:$C$677,MATCH(C192,EC,0))))</f>
        <v/>
      </c>
      <c r="F192" s="33" t="str">
        <f t="shared" si="15"/>
        <v/>
      </c>
      <c r="G192" s="38"/>
      <c r="H192" s="38"/>
      <c r="I192" s="38"/>
      <c r="J192" s="36"/>
      <c r="K192" s="29"/>
      <c r="L192" s="29"/>
      <c r="M192" s="31"/>
      <c r="N192" s="39">
        <f t="shared" si="16"/>
        <v>0</v>
      </c>
      <c r="P192" s="4" t="str">
        <f t="shared" si="17"/>
        <v/>
      </c>
      <c r="Q192" s="4" t="str">
        <f t="shared" si="18"/>
        <v/>
      </c>
      <c r="R192" s="4" t="str">
        <f t="shared" si="19"/>
        <v>/</v>
      </c>
      <c r="S192" s="4" t="str">
        <f t="shared" si="20"/>
        <v/>
      </c>
    </row>
    <row r="193" spans="1:19" x14ac:dyDescent="0.35">
      <c r="A193" s="54"/>
      <c r="B193" s="57"/>
      <c r="C193" s="60"/>
      <c r="D193" s="7" t="str">
        <f t="shared" si="14"/>
        <v/>
      </c>
      <c r="E193" s="63" t="str">
        <f>IF(OR(C193="",A193=""),"",IF(A193&lt;'Page de garde'!$G$7,IF(VALUE(RIGHT(C193,2))&lt;50,76,96),INDEX(EC!$C$2:$C$677,MATCH(C193,EC,0))))</f>
        <v/>
      </c>
      <c r="F193" s="33" t="str">
        <f t="shared" si="15"/>
        <v/>
      </c>
      <c r="G193" s="38"/>
      <c r="H193" s="38"/>
      <c r="I193" s="38"/>
      <c r="J193" s="36"/>
      <c r="K193" s="29"/>
      <c r="L193" s="29"/>
      <c r="M193" s="31"/>
      <c r="N193" s="39">
        <f t="shared" si="16"/>
        <v>0</v>
      </c>
      <c r="P193" s="4" t="str">
        <f t="shared" si="17"/>
        <v/>
      </c>
      <c r="Q193" s="4" t="str">
        <f t="shared" si="18"/>
        <v/>
      </c>
      <c r="R193" s="4" t="str">
        <f t="shared" si="19"/>
        <v>/</v>
      </c>
      <c r="S193" s="4" t="str">
        <f t="shared" si="20"/>
        <v/>
      </c>
    </row>
    <row r="194" spans="1:19" x14ac:dyDescent="0.35">
      <c r="A194" s="54"/>
      <c r="B194" s="57"/>
      <c r="C194" s="60"/>
      <c r="D194" s="7" t="str">
        <f t="shared" si="14"/>
        <v/>
      </c>
      <c r="E194" s="63" t="str">
        <f>IF(OR(C194="",A194=""),"",IF(A194&lt;'Page de garde'!$G$7,IF(VALUE(RIGHT(C194,2))&lt;50,76,96),INDEX(EC!$C$2:$C$677,MATCH(C194,EC,0))))</f>
        <v/>
      </c>
      <c r="F194" s="33" t="str">
        <f t="shared" si="15"/>
        <v/>
      </c>
      <c r="G194" s="38"/>
      <c r="H194" s="38"/>
      <c r="I194" s="38"/>
      <c r="J194" s="36"/>
      <c r="K194" s="29"/>
      <c r="L194" s="29"/>
      <c r="M194" s="31"/>
      <c r="N194" s="39">
        <f t="shared" si="16"/>
        <v>0</v>
      </c>
      <c r="P194" s="4" t="str">
        <f t="shared" si="17"/>
        <v/>
      </c>
      <c r="Q194" s="4" t="str">
        <f t="shared" si="18"/>
        <v/>
      </c>
      <c r="R194" s="4" t="str">
        <f t="shared" si="19"/>
        <v>/</v>
      </c>
      <c r="S194" s="4" t="str">
        <f t="shared" si="20"/>
        <v/>
      </c>
    </row>
    <row r="195" spans="1:19" x14ac:dyDescent="0.35">
      <c r="A195" s="54"/>
      <c r="B195" s="57"/>
      <c r="C195" s="60"/>
      <c r="D195" s="7" t="str">
        <f t="shared" si="14"/>
        <v/>
      </c>
      <c r="E195" s="63" t="str">
        <f>IF(OR(C195="",A195=""),"",IF(A195&lt;'Page de garde'!$G$7,IF(VALUE(RIGHT(C195,2))&lt;50,76,96),INDEX(EC!$C$2:$C$677,MATCH(C195,EC,0))))</f>
        <v/>
      </c>
      <c r="F195" s="33" t="str">
        <f t="shared" si="15"/>
        <v/>
      </c>
      <c r="G195" s="38"/>
      <c r="H195" s="38"/>
      <c r="I195" s="38"/>
      <c r="J195" s="36"/>
      <c r="K195" s="29"/>
      <c r="L195" s="29"/>
      <c r="M195" s="31"/>
      <c r="N195" s="39">
        <f t="shared" si="16"/>
        <v>0</v>
      </c>
      <c r="P195" s="4" t="str">
        <f t="shared" si="17"/>
        <v/>
      </c>
      <c r="Q195" s="4" t="str">
        <f t="shared" si="18"/>
        <v/>
      </c>
      <c r="R195" s="4" t="str">
        <f t="shared" si="19"/>
        <v>/</v>
      </c>
      <c r="S195" s="4" t="str">
        <f t="shared" si="20"/>
        <v/>
      </c>
    </row>
    <row r="196" spans="1:19" x14ac:dyDescent="0.35">
      <c r="A196" s="54"/>
      <c r="B196" s="57"/>
      <c r="C196" s="60"/>
      <c r="D196" s="7" t="str">
        <f t="shared" si="14"/>
        <v/>
      </c>
      <c r="E196" s="63" t="str">
        <f>IF(OR(C196="",A196=""),"",IF(A196&lt;'Page de garde'!$G$7,IF(VALUE(RIGHT(C196,2))&lt;50,76,96),INDEX(EC!$C$2:$C$677,MATCH(C196,EC,0))))</f>
        <v/>
      </c>
      <c r="F196" s="33" t="str">
        <f t="shared" si="15"/>
        <v/>
      </c>
      <c r="G196" s="38"/>
      <c r="H196" s="38"/>
      <c r="I196" s="38"/>
      <c r="J196" s="36"/>
      <c r="K196" s="29"/>
      <c r="L196" s="29"/>
      <c r="M196" s="31"/>
      <c r="N196" s="39">
        <f t="shared" si="16"/>
        <v>0</v>
      </c>
      <c r="P196" s="4" t="str">
        <f t="shared" si="17"/>
        <v/>
      </c>
      <c r="Q196" s="4" t="str">
        <f t="shared" si="18"/>
        <v/>
      </c>
      <c r="R196" s="4" t="str">
        <f t="shared" si="19"/>
        <v>/</v>
      </c>
      <c r="S196" s="4" t="str">
        <f t="shared" si="20"/>
        <v/>
      </c>
    </row>
    <row r="197" spans="1:19" x14ac:dyDescent="0.35">
      <c r="A197" s="54"/>
      <c r="B197" s="57"/>
      <c r="C197" s="60"/>
      <c r="D197" s="7" t="str">
        <f t="shared" ref="D197:D260" si="21">IF(OR(B197="",C197=""),"",CONCATENATE(B197,"/",LEFT(C197,3),"-",RIGHT(C197,2)))</f>
        <v/>
      </c>
      <c r="E197" s="63" t="str">
        <f>IF(OR(C197="",A197=""),"",IF(A197&lt;'Page de garde'!$G$7,IF(VALUE(RIGHT(C197,2))&lt;50,76,96),INDEX(EC!$C$2:$C$677,MATCH(C197,EC,0))))</f>
        <v/>
      </c>
      <c r="F197" s="33" t="str">
        <f t="shared" ref="F197:F260" si="22">IF(C197="","",INDEX(OmEC,MATCH(C197,EC,0)))</f>
        <v/>
      </c>
      <c r="G197" s="38"/>
      <c r="H197" s="38"/>
      <c r="I197" s="38"/>
      <c r="J197" s="36"/>
      <c r="K197" s="29"/>
      <c r="L197" s="29"/>
      <c r="M197" s="31"/>
      <c r="N197" s="39">
        <f t="shared" ref="N197:N260" si="23">SUM(I197:M197)</f>
        <v>0</v>
      </c>
      <c r="P197" s="4" t="str">
        <f t="shared" ref="P197:P260" si="24">LEFT(C197,3)</f>
        <v/>
      </c>
      <c r="Q197" s="4" t="str">
        <f t="shared" si="18"/>
        <v/>
      </c>
      <c r="R197" s="4" t="str">
        <f t="shared" si="19"/>
        <v>/</v>
      </c>
      <c r="S197" s="4" t="str">
        <f t="shared" si="20"/>
        <v/>
      </c>
    </row>
    <row r="198" spans="1:19" x14ac:dyDescent="0.35">
      <c r="A198" s="54"/>
      <c r="B198" s="57"/>
      <c r="C198" s="60"/>
      <c r="D198" s="7" t="str">
        <f t="shared" si="21"/>
        <v/>
      </c>
      <c r="E198" s="63" t="str">
        <f>IF(OR(C198="",A198=""),"",IF(A198&lt;'Page de garde'!$G$7,IF(VALUE(RIGHT(C198,2))&lt;50,76,96),INDEX(EC!$C$2:$C$677,MATCH(C198,EC,0))))</f>
        <v/>
      </c>
      <c r="F198" s="33" t="str">
        <f t="shared" si="22"/>
        <v/>
      </c>
      <c r="G198" s="38"/>
      <c r="H198" s="38"/>
      <c r="I198" s="38"/>
      <c r="J198" s="36"/>
      <c r="K198" s="29"/>
      <c r="L198" s="29"/>
      <c r="M198" s="31"/>
      <c r="N198" s="39">
        <f t="shared" si="23"/>
        <v>0</v>
      </c>
      <c r="P198" s="4" t="str">
        <f t="shared" si="24"/>
        <v/>
      </c>
      <c r="Q198" s="4" t="str">
        <f t="shared" ref="Q198:Q261" si="25">IF(C198="","",IF(VALUE(RIGHT(C198,2))&lt;50,"G","B"))</f>
        <v/>
      </c>
      <c r="R198" s="4" t="str">
        <f t="shared" ref="R198:R261" si="26">CONCATENATE(D198,"/",A198)</f>
        <v>/</v>
      </c>
      <c r="S198" s="4" t="str">
        <f t="shared" ref="S198:S261" si="27">LEFT(B198,3)</f>
        <v/>
      </c>
    </row>
    <row r="199" spans="1:19" x14ac:dyDescent="0.35">
      <c r="A199" s="54"/>
      <c r="B199" s="57"/>
      <c r="C199" s="60"/>
      <c r="D199" s="7" t="str">
        <f t="shared" si="21"/>
        <v/>
      </c>
      <c r="E199" s="63" t="str">
        <f>IF(OR(C199="",A199=""),"",IF(A199&lt;'Page de garde'!$G$7,IF(VALUE(RIGHT(C199,2))&lt;50,76,96),INDEX(EC!$C$2:$C$677,MATCH(C199,EC,0))))</f>
        <v/>
      </c>
      <c r="F199" s="33" t="str">
        <f t="shared" si="22"/>
        <v/>
      </c>
      <c r="G199" s="38"/>
      <c r="H199" s="38"/>
      <c r="I199" s="38"/>
      <c r="J199" s="36"/>
      <c r="K199" s="29"/>
      <c r="L199" s="29"/>
      <c r="M199" s="31"/>
      <c r="N199" s="39">
        <f t="shared" si="23"/>
        <v>0</v>
      </c>
      <c r="P199" s="4" t="str">
        <f t="shared" si="24"/>
        <v/>
      </c>
      <c r="Q199" s="4" t="str">
        <f t="shared" si="25"/>
        <v/>
      </c>
      <c r="R199" s="4" t="str">
        <f t="shared" si="26"/>
        <v>/</v>
      </c>
      <c r="S199" s="4" t="str">
        <f t="shared" si="27"/>
        <v/>
      </c>
    </row>
    <row r="200" spans="1:19" x14ac:dyDescent="0.35">
      <c r="A200" s="54"/>
      <c r="B200" s="57"/>
      <c r="C200" s="60"/>
      <c r="D200" s="7" t="str">
        <f t="shared" si="21"/>
        <v/>
      </c>
      <c r="E200" s="63" t="str">
        <f>IF(OR(C200="",A200=""),"",IF(A200&lt;'Page de garde'!$G$7,IF(VALUE(RIGHT(C200,2))&lt;50,76,96),INDEX(EC!$C$2:$C$677,MATCH(C200,EC,0))))</f>
        <v/>
      </c>
      <c r="F200" s="33" t="str">
        <f t="shared" si="22"/>
        <v/>
      </c>
      <c r="G200" s="38"/>
      <c r="H200" s="38"/>
      <c r="I200" s="38"/>
      <c r="J200" s="36"/>
      <c r="K200" s="29"/>
      <c r="L200" s="29"/>
      <c r="M200" s="31"/>
      <c r="N200" s="39">
        <f t="shared" si="23"/>
        <v>0</v>
      </c>
      <c r="P200" s="4" t="str">
        <f t="shared" si="24"/>
        <v/>
      </c>
      <c r="Q200" s="4" t="str">
        <f t="shared" si="25"/>
        <v/>
      </c>
      <c r="R200" s="4" t="str">
        <f t="shared" si="26"/>
        <v>/</v>
      </c>
      <c r="S200" s="4" t="str">
        <f t="shared" si="27"/>
        <v/>
      </c>
    </row>
    <row r="201" spans="1:19" x14ac:dyDescent="0.35">
      <c r="A201" s="54"/>
      <c r="B201" s="57"/>
      <c r="C201" s="60"/>
      <c r="D201" s="7" t="str">
        <f t="shared" si="21"/>
        <v/>
      </c>
      <c r="E201" s="63" t="str">
        <f>IF(OR(C201="",A201=""),"",IF(A201&lt;'Page de garde'!$G$7,IF(VALUE(RIGHT(C201,2))&lt;50,76,96),INDEX(EC!$C$2:$C$677,MATCH(C201,EC,0))))</f>
        <v/>
      </c>
      <c r="F201" s="33" t="str">
        <f t="shared" si="22"/>
        <v/>
      </c>
      <c r="G201" s="38"/>
      <c r="H201" s="38"/>
      <c r="I201" s="38"/>
      <c r="J201" s="36"/>
      <c r="K201" s="29"/>
      <c r="L201" s="29"/>
      <c r="M201" s="31"/>
      <c r="N201" s="39">
        <f t="shared" si="23"/>
        <v>0</v>
      </c>
      <c r="P201" s="4" t="str">
        <f t="shared" si="24"/>
        <v/>
      </c>
      <c r="Q201" s="4" t="str">
        <f t="shared" si="25"/>
        <v/>
      </c>
      <c r="R201" s="4" t="str">
        <f t="shared" si="26"/>
        <v>/</v>
      </c>
      <c r="S201" s="4" t="str">
        <f t="shared" si="27"/>
        <v/>
      </c>
    </row>
    <row r="202" spans="1:19" x14ac:dyDescent="0.35">
      <c r="A202" s="54"/>
      <c r="B202" s="57"/>
      <c r="C202" s="60"/>
      <c r="D202" s="7" t="str">
        <f t="shared" si="21"/>
        <v/>
      </c>
      <c r="E202" s="63" t="str">
        <f>IF(OR(C202="",A202=""),"",IF(A202&lt;'Page de garde'!$G$7,IF(VALUE(RIGHT(C202,2))&lt;50,76,96),INDEX(EC!$C$2:$C$677,MATCH(C202,EC,0))))</f>
        <v/>
      </c>
      <c r="F202" s="33" t="str">
        <f t="shared" si="22"/>
        <v/>
      </c>
      <c r="G202" s="38"/>
      <c r="H202" s="38"/>
      <c r="I202" s="38"/>
      <c r="J202" s="36"/>
      <c r="K202" s="29"/>
      <c r="L202" s="29"/>
      <c r="M202" s="31"/>
      <c r="N202" s="39">
        <f t="shared" si="23"/>
        <v>0</v>
      </c>
      <c r="P202" s="4" t="str">
        <f t="shared" si="24"/>
        <v/>
      </c>
      <c r="Q202" s="4" t="str">
        <f t="shared" si="25"/>
        <v/>
      </c>
      <c r="R202" s="4" t="str">
        <f t="shared" si="26"/>
        <v>/</v>
      </c>
      <c r="S202" s="4" t="str">
        <f t="shared" si="27"/>
        <v/>
      </c>
    </row>
    <row r="203" spans="1:19" x14ac:dyDescent="0.35">
      <c r="A203" s="54"/>
      <c r="B203" s="57"/>
      <c r="C203" s="60"/>
      <c r="D203" s="66" t="str">
        <f t="shared" si="21"/>
        <v/>
      </c>
      <c r="E203" s="64" t="str">
        <f>IF(OR(C203="",A203=""),"",IF(A203&lt;'Page de garde'!$G$7,IF(VALUE(RIGHT(C203,2))&lt;50,76,96),INDEX(EC!$C$2:$C$677,MATCH(C203,EC,0))))</f>
        <v/>
      </c>
      <c r="F203" s="33" t="str">
        <f t="shared" si="22"/>
        <v/>
      </c>
      <c r="G203" s="38"/>
      <c r="H203" s="38"/>
      <c r="I203" s="38"/>
      <c r="J203" s="36"/>
      <c r="K203" s="29"/>
      <c r="L203" s="29"/>
      <c r="M203" s="31"/>
      <c r="N203" s="40">
        <f t="shared" si="23"/>
        <v>0</v>
      </c>
      <c r="P203" s="4" t="str">
        <f t="shared" si="24"/>
        <v/>
      </c>
      <c r="Q203" s="4" t="str">
        <f t="shared" si="25"/>
        <v/>
      </c>
      <c r="R203" s="4" t="str">
        <f t="shared" si="26"/>
        <v>/</v>
      </c>
      <c r="S203" s="4" t="str">
        <f t="shared" si="27"/>
        <v/>
      </c>
    </row>
    <row r="204" spans="1:19" x14ac:dyDescent="0.35">
      <c r="A204" s="54"/>
      <c r="B204" s="57"/>
      <c r="C204" s="60"/>
      <c r="D204" s="66" t="str">
        <f t="shared" si="21"/>
        <v/>
      </c>
      <c r="E204" s="64" t="str">
        <f>IF(OR(C204="",A204=""),"",IF(A204&lt;'Page de garde'!$G$7,IF(VALUE(RIGHT(C204,2))&lt;50,76,96),INDEX(EC!$C$2:$C$677,MATCH(C204,EC,0))))</f>
        <v/>
      </c>
      <c r="F204" s="33" t="str">
        <f t="shared" si="22"/>
        <v/>
      </c>
      <c r="G204" s="38"/>
      <c r="H204" s="38"/>
      <c r="I204" s="38"/>
      <c r="J204" s="36"/>
      <c r="K204" s="29"/>
      <c r="L204" s="29"/>
      <c r="M204" s="31"/>
      <c r="N204" s="40">
        <f t="shared" si="23"/>
        <v>0</v>
      </c>
      <c r="P204" s="4" t="str">
        <f t="shared" si="24"/>
        <v/>
      </c>
      <c r="Q204" s="4" t="str">
        <f t="shared" si="25"/>
        <v/>
      </c>
      <c r="R204" s="4" t="str">
        <f t="shared" si="26"/>
        <v>/</v>
      </c>
      <c r="S204" s="4" t="str">
        <f t="shared" si="27"/>
        <v/>
      </c>
    </row>
    <row r="205" spans="1:19" x14ac:dyDescent="0.35">
      <c r="A205" s="54"/>
      <c r="B205" s="57"/>
      <c r="C205" s="60"/>
      <c r="D205" s="66" t="str">
        <f t="shared" si="21"/>
        <v/>
      </c>
      <c r="E205" s="64" t="str">
        <f>IF(OR(C205="",A205=""),"",IF(A205&lt;'Page de garde'!$G$7,IF(VALUE(RIGHT(C205,2))&lt;50,76,96),INDEX(EC!$C$2:$C$677,MATCH(C205,EC,0))))</f>
        <v/>
      </c>
      <c r="F205" s="33" t="str">
        <f t="shared" si="22"/>
        <v/>
      </c>
      <c r="G205" s="38"/>
      <c r="H205" s="38"/>
      <c r="I205" s="38"/>
      <c r="J205" s="36"/>
      <c r="K205" s="29"/>
      <c r="L205" s="29"/>
      <c r="M205" s="31"/>
      <c r="N205" s="40">
        <f t="shared" si="23"/>
        <v>0</v>
      </c>
      <c r="P205" s="4" t="str">
        <f t="shared" si="24"/>
        <v/>
      </c>
      <c r="Q205" s="4" t="str">
        <f t="shared" si="25"/>
        <v/>
      </c>
      <c r="R205" s="4" t="str">
        <f t="shared" si="26"/>
        <v>/</v>
      </c>
      <c r="S205" s="4" t="str">
        <f t="shared" si="27"/>
        <v/>
      </c>
    </row>
    <row r="206" spans="1:19" x14ac:dyDescent="0.35">
      <c r="A206" s="54"/>
      <c r="B206" s="57"/>
      <c r="C206" s="60"/>
      <c r="D206" s="66" t="str">
        <f t="shared" si="21"/>
        <v/>
      </c>
      <c r="E206" s="64" t="str">
        <f>IF(OR(C206="",A206=""),"",IF(A206&lt;'Page de garde'!$G$7,IF(VALUE(RIGHT(C206,2))&lt;50,76,96),INDEX(EC!$C$2:$C$677,MATCH(C206,EC,0))))</f>
        <v/>
      </c>
      <c r="F206" s="33" t="str">
        <f t="shared" si="22"/>
        <v/>
      </c>
      <c r="G206" s="38"/>
      <c r="H206" s="38"/>
      <c r="I206" s="38"/>
      <c r="J206" s="36"/>
      <c r="K206" s="29"/>
      <c r="L206" s="29"/>
      <c r="M206" s="31"/>
      <c r="N206" s="40">
        <f t="shared" si="23"/>
        <v>0</v>
      </c>
      <c r="P206" s="4" t="str">
        <f t="shared" si="24"/>
        <v/>
      </c>
      <c r="Q206" s="4" t="str">
        <f t="shared" si="25"/>
        <v/>
      </c>
      <c r="R206" s="4" t="str">
        <f t="shared" si="26"/>
        <v>/</v>
      </c>
      <c r="S206" s="4" t="str">
        <f t="shared" si="27"/>
        <v/>
      </c>
    </row>
    <row r="207" spans="1:19" x14ac:dyDescent="0.35">
      <c r="A207" s="54"/>
      <c r="B207" s="57"/>
      <c r="C207" s="60"/>
      <c r="D207" s="66" t="str">
        <f t="shared" si="21"/>
        <v/>
      </c>
      <c r="E207" s="64" t="str">
        <f>IF(OR(C207="",A207=""),"",IF(A207&lt;'Page de garde'!$G$7,IF(VALUE(RIGHT(C207,2))&lt;50,76,96),INDEX(EC!$C$2:$C$677,MATCH(C207,EC,0))))</f>
        <v/>
      </c>
      <c r="F207" s="33" t="str">
        <f t="shared" si="22"/>
        <v/>
      </c>
      <c r="G207" s="38"/>
      <c r="H207" s="38"/>
      <c r="I207" s="38"/>
      <c r="J207" s="36"/>
      <c r="K207" s="29"/>
      <c r="L207" s="29"/>
      <c r="M207" s="31"/>
      <c r="N207" s="40">
        <f t="shared" si="23"/>
        <v>0</v>
      </c>
      <c r="P207" s="4" t="str">
        <f t="shared" si="24"/>
        <v/>
      </c>
      <c r="Q207" s="4" t="str">
        <f t="shared" si="25"/>
        <v/>
      </c>
      <c r="R207" s="4" t="str">
        <f t="shared" si="26"/>
        <v>/</v>
      </c>
      <c r="S207" s="4" t="str">
        <f t="shared" si="27"/>
        <v/>
      </c>
    </row>
    <row r="208" spans="1:19" x14ac:dyDescent="0.35">
      <c r="A208" s="54"/>
      <c r="B208" s="57"/>
      <c r="C208" s="60"/>
      <c r="D208" s="66" t="str">
        <f t="shared" si="21"/>
        <v/>
      </c>
      <c r="E208" s="64" t="str">
        <f>IF(OR(C208="",A208=""),"",IF(A208&lt;'Page de garde'!$G$7,IF(VALUE(RIGHT(C208,2))&lt;50,76,96),INDEX(EC!$C$2:$C$677,MATCH(C208,EC,0))))</f>
        <v/>
      </c>
      <c r="F208" s="33" t="str">
        <f t="shared" si="22"/>
        <v/>
      </c>
      <c r="G208" s="38"/>
      <c r="H208" s="38"/>
      <c r="I208" s="38"/>
      <c r="J208" s="36"/>
      <c r="K208" s="29"/>
      <c r="L208" s="29"/>
      <c r="M208" s="31"/>
      <c r="N208" s="40">
        <f t="shared" si="23"/>
        <v>0</v>
      </c>
      <c r="P208" s="4" t="str">
        <f t="shared" si="24"/>
        <v/>
      </c>
      <c r="Q208" s="4" t="str">
        <f t="shared" si="25"/>
        <v/>
      </c>
      <c r="R208" s="4" t="str">
        <f t="shared" si="26"/>
        <v>/</v>
      </c>
      <c r="S208" s="4" t="str">
        <f t="shared" si="27"/>
        <v/>
      </c>
    </row>
    <row r="209" spans="1:19" x14ac:dyDescent="0.35">
      <c r="A209" s="54"/>
      <c r="B209" s="57"/>
      <c r="C209" s="60"/>
      <c r="D209" s="66" t="str">
        <f t="shared" si="21"/>
        <v/>
      </c>
      <c r="E209" s="64" t="str">
        <f>IF(OR(C209="",A209=""),"",IF(A209&lt;'Page de garde'!$G$7,IF(VALUE(RIGHT(C209,2))&lt;50,76,96),INDEX(EC!$C$2:$C$677,MATCH(C209,EC,0))))</f>
        <v/>
      </c>
      <c r="F209" s="33" t="str">
        <f t="shared" si="22"/>
        <v/>
      </c>
      <c r="G209" s="38"/>
      <c r="H209" s="38"/>
      <c r="I209" s="38"/>
      <c r="J209" s="36"/>
      <c r="K209" s="29"/>
      <c r="L209" s="29"/>
      <c r="M209" s="31"/>
      <c r="N209" s="40">
        <f t="shared" si="23"/>
        <v>0</v>
      </c>
      <c r="P209" s="4" t="str">
        <f t="shared" si="24"/>
        <v/>
      </c>
      <c r="Q209" s="4" t="str">
        <f t="shared" si="25"/>
        <v/>
      </c>
      <c r="R209" s="4" t="str">
        <f t="shared" si="26"/>
        <v>/</v>
      </c>
      <c r="S209" s="4" t="str">
        <f t="shared" si="27"/>
        <v/>
      </c>
    </row>
    <row r="210" spans="1:19" x14ac:dyDescent="0.35">
      <c r="A210" s="54"/>
      <c r="B210" s="57"/>
      <c r="C210" s="60"/>
      <c r="D210" s="66" t="str">
        <f t="shared" si="21"/>
        <v/>
      </c>
      <c r="E210" s="64" t="str">
        <f>IF(OR(C210="",A210=""),"",IF(A210&lt;'Page de garde'!$G$7,IF(VALUE(RIGHT(C210,2))&lt;50,76,96),INDEX(EC!$C$2:$C$677,MATCH(C210,EC,0))))</f>
        <v/>
      </c>
      <c r="F210" s="33" t="str">
        <f t="shared" si="22"/>
        <v/>
      </c>
      <c r="G210" s="38"/>
      <c r="H210" s="38"/>
      <c r="I210" s="38"/>
      <c r="J210" s="36"/>
      <c r="K210" s="29"/>
      <c r="L210" s="29"/>
      <c r="M210" s="31"/>
      <c r="N210" s="40">
        <f t="shared" si="23"/>
        <v>0</v>
      </c>
      <c r="P210" s="4" t="str">
        <f t="shared" si="24"/>
        <v/>
      </c>
      <c r="Q210" s="4" t="str">
        <f t="shared" si="25"/>
        <v/>
      </c>
      <c r="R210" s="4" t="str">
        <f t="shared" si="26"/>
        <v>/</v>
      </c>
      <c r="S210" s="4" t="str">
        <f t="shared" si="27"/>
        <v/>
      </c>
    </row>
    <row r="211" spans="1:19" x14ac:dyDescent="0.35">
      <c r="A211" s="54"/>
      <c r="B211" s="57"/>
      <c r="C211" s="60"/>
      <c r="D211" s="66" t="str">
        <f t="shared" si="21"/>
        <v/>
      </c>
      <c r="E211" s="64" t="str">
        <f>IF(OR(C211="",A211=""),"",IF(A211&lt;'Page de garde'!$G$7,IF(VALUE(RIGHT(C211,2))&lt;50,76,96),INDEX(EC!$C$2:$C$677,MATCH(C211,EC,0))))</f>
        <v/>
      </c>
      <c r="F211" s="33" t="str">
        <f t="shared" si="22"/>
        <v/>
      </c>
      <c r="G211" s="38"/>
      <c r="H211" s="38"/>
      <c r="I211" s="38"/>
      <c r="J211" s="36"/>
      <c r="K211" s="29"/>
      <c r="L211" s="29"/>
      <c r="M211" s="31"/>
      <c r="N211" s="40">
        <f t="shared" si="23"/>
        <v>0</v>
      </c>
      <c r="P211" s="4" t="str">
        <f t="shared" si="24"/>
        <v/>
      </c>
      <c r="Q211" s="4" t="str">
        <f t="shared" si="25"/>
        <v/>
      </c>
      <c r="R211" s="4" t="str">
        <f t="shared" si="26"/>
        <v>/</v>
      </c>
      <c r="S211" s="4" t="str">
        <f t="shared" si="27"/>
        <v/>
      </c>
    </row>
    <row r="212" spans="1:19" x14ac:dyDescent="0.35">
      <c r="A212" s="54"/>
      <c r="B212" s="57"/>
      <c r="C212" s="60"/>
      <c r="D212" s="66" t="str">
        <f t="shared" si="21"/>
        <v/>
      </c>
      <c r="E212" s="64" t="str">
        <f>IF(OR(C212="",A212=""),"",IF(A212&lt;'Page de garde'!$G$7,IF(VALUE(RIGHT(C212,2))&lt;50,76,96),INDEX(EC!$C$2:$C$677,MATCH(C212,EC,0))))</f>
        <v/>
      </c>
      <c r="F212" s="33" t="str">
        <f t="shared" si="22"/>
        <v/>
      </c>
      <c r="G212" s="38"/>
      <c r="H212" s="38"/>
      <c r="I212" s="38"/>
      <c r="J212" s="36"/>
      <c r="K212" s="29"/>
      <c r="L212" s="29"/>
      <c r="M212" s="31"/>
      <c r="N212" s="40">
        <f t="shared" si="23"/>
        <v>0</v>
      </c>
      <c r="P212" s="4" t="str">
        <f t="shared" si="24"/>
        <v/>
      </c>
      <c r="Q212" s="4" t="str">
        <f t="shared" si="25"/>
        <v/>
      </c>
      <c r="R212" s="4" t="str">
        <f t="shared" si="26"/>
        <v>/</v>
      </c>
      <c r="S212" s="4" t="str">
        <f t="shared" si="27"/>
        <v/>
      </c>
    </row>
    <row r="213" spans="1:19" x14ac:dyDescent="0.35">
      <c r="A213" s="54"/>
      <c r="B213" s="57"/>
      <c r="C213" s="60"/>
      <c r="D213" s="66" t="str">
        <f t="shared" si="21"/>
        <v/>
      </c>
      <c r="E213" s="64" t="str">
        <f>IF(OR(C213="",A213=""),"",IF(A213&lt;'Page de garde'!$G$7,IF(VALUE(RIGHT(C213,2))&lt;50,76,96),INDEX(EC!$C$2:$C$677,MATCH(C213,EC,0))))</f>
        <v/>
      </c>
      <c r="F213" s="33" t="str">
        <f t="shared" si="22"/>
        <v/>
      </c>
      <c r="G213" s="38"/>
      <c r="H213" s="38"/>
      <c r="I213" s="38"/>
      <c r="J213" s="36"/>
      <c r="K213" s="29"/>
      <c r="L213" s="29"/>
      <c r="M213" s="31"/>
      <c r="N213" s="40">
        <f t="shared" si="23"/>
        <v>0</v>
      </c>
      <c r="P213" s="4" t="str">
        <f t="shared" si="24"/>
        <v/>
      </c>
      <c r="Q213" s="4" t="str">
        <f t="shared" si="25"/>
        <v/>
      </c>
      <c r="R213" s="4" t="str">
        <f t="shared" si="26"/>
        <v>/</v>
      </c>
      <c r="S213" s="4" t="str">
        <f t="shared" si="27"/>
        <v/>
      </c>
    </row>
    <row r="214" spans="1:19" x14ac:dyDescent="0.35">
      <c r="A214" s="54"/>
      <c r="B214" s="57"/>
      <c r="C214" s="60"/>
      <c r="D214" s="66" t="str">
        <f t="shared" si="21"/>
        <v/>
      </c>
      <c r="E214" s="64" t="str">
        <f>IF(OR(C214="",A214=""),"",IF(A214&lt;'Page de garde'!$G$7,IF(VALUE(RIGHT(C214,2))&lt;50,76,96),INDEX(EC!$C$2:$C$677,MATCH(C214,EC,0))))</f>
        <v/>
      </c>
      <c r="F214" s="33" t="str">
        <f t="shared" si="22"/>
        <v/>
      </c>
      <c r="G214" s="38"/>
      <c r="H214" s="38"/>
      <c r="I214" s="38"/>
      <c r="J214" s="36"/>
      <c r="K214" s="29"/>
      <c r="L214" s="29"/>
      <c r="M214" s="31"/>
      <c r="N214" s="40">
        <f t="shared" si="23"/>
        <v>0</v>
      </c>
      <c r="P214" s="4" t="str">
        <f t="shared" si="24"/>
        <v/>
      </c>
      <c r="Q214" s="4" t="str">
        <f t="shared" si="25"/>
        <v/>
      </c>
      <c r="R214" s="4" t="str">
        <f t="shared" si="26"/>
        <v>/</v>
      </c>
      <c r="S214" s="4" t="str">
        <f t="shared" si="27"/>
        <v/>
      </c>
    </row>
    <row r="215" spans="1:19" x14ac:dyDescent="0.35">
      <c r="A215" s="54"/>
      <c r="B215" s="57"/>
      <c r="C215" s="60"/>
      <c r="D215" s="66" t="str">
        <f t="shared" si="21"/>
        <v/>
      </c>
      <c r="E215" s="64" t="str">
        <f>IF(OR(C215="",A215=""),"",IF(A215&lt;'Page de garde'!$G$7,IF(VALUE(RIGHT(C215,2))&lt;50,76,96),INDEX(EC!$C$2:$C$677,MATCH(C215,EC,0))))</f>
        <v/>
      </c>
      <c r="F215" s="33" t="str">
        <f t="shared" si="22"/>
        <v/>
      </c>
      <c r="G215" s="38"/>
      <c r="H215" s="38"/>
      <c r="I215" s="38"/>
      <c r="J215" s="36"/>
      <c r="K215" s="29"/>
      <c r="L215" s="29"/>
      <c r="M215" s="31"/>
      <c r="N215" s="40">
        <f t="shared" si="23"/>
        <v>0</v>
      </c>
      <c r="P215" s="4" t="str">
        <f t="shared" si="24"/>
        <v/>
      </c>
      <c r="Q215" s="4" t="str">
        <f t="shared" si="25"/>
        <v/>
      </c>
      <c r="R215" s="4" t="str">
        <f t="shared" si="26"/>
        <v>/</v>
      </c>
      <c r="S215" s="4" t="str">
        <f t="shared" si="27"/>
        <v/>
      </c>
    </row>
    <row r="216" spans="1:19" x14ac:dyDescent="0.35">
      <c r="A216" s="54"/>
      <c r="B216" s="57"/>
      <c r="C216" s="60"/>
      <c r="D216" s="66" t="str">
        <f t="shared" si="21"/>
        <v/>
      </c>
      <c r="E216" s="64" t="str">
        <f>IF(OR(C216="",A216=""),"",IF(A216&lt;'Page de garde'!$G$7,IF(VALUE(RIGHT(C216,2))&lt;50,76,96),INDEX(EC!$C$2:$C$677,MATCH(C216,EC,0))))</f>
        <v/>
      </c>
      <c r="F216" s="33" t="str">
        <f t="shared" si="22"/>
        <v/>
      </c>
      <c r="G216" s="38"/>
      <c r="H216" s="38"/>
      <c r="I216" s="38"/>
      <c r="J216" s="36"/>
      <c r="K216" s="29"/>
      <c r="L216" s="29"/>
      <c r="M216" s="31"/>
      <c r="N216" s="40">
        <f t="shared" si="23"/>
        <v>0</v>
      </c>
      <c r="P216" s="4" t="str">
        <f t="shared" si="24"/>
        <v/>
      </c>
      <c r="Q216" s="4" t="str">
        <f t="shared" si="25"/>
        <v/>
      </c>
      <c r="R216" s="4" t="str">
        <f t="shared" si="26"/>
        <v>/</v>
      </c>
      <c r="S216" s="4" t="str">
        <f t="shared" si="27"/>
        <v/>
      </c>
    </row>
    <row r="217" spans="1:19" x14ac:dyDescent="0.35">
      <c r="A217" s="54"/>
      <c r="B217" s="57"/>
      <c r="C217" s="60"/>
      <c r="D217" s="66" t="str">
        <f t="shared" si="21"/>
        <v/>
      </c>
      <c r="E217" s="64" t="str">
        <f>IF(OR(C217="",A217=""),"",IF(A217&lt;'Page de garde'!$G$7,IF(VALUE(RIGHT(C217,2))&lt;50,76,96),INDEX(EC!$C$2:$C$677,MATCH(C217,EC,0))))</f>
        <v/>
      </c>
      <c r="F217" s="33" t="str">
        <f t="shared" si="22"/>
        <v/>
      </c>
      <c r="G217" s="38"/>
      <c r="H217" s="38"/>
      <c r="I217" s="38"/>
      <c r="J217" s="36"/>
      <c r="K217" s="29"/>
      <c r="L217" s="29"/>
      <c r="M217" s="31"/>
      <c r="N217" s="40">
        <f t="shared" si="23"/>
        <v>0</v>
      </c>
      <c r="P217" s="4" t="str">
        <f t="shared" si="24"/>
        <v/>
      </c>
      <c r="Q217" s="4" t="str">
        <f t="shared" si="25"/>
        <v/>
      </c>
      <c r="R217" s="4" t="str">
        <f t="shared" si="26"/>
        <v>/</v>
      </c>
      <c r="S217" s="4" t="str">
        <f t="shared" si="27"/>
        <v/>
      </c>
    </row>
    <row r="218" spans="1:19" x14ac:dyDescent="0.35">
      <c r="A218" s="54"/>
      <c r="B218" s="57"/>
      <c r="C218" s="60"/>
      <c r="D218" s="66" t="str">
        <f t="shared" si="21"/>
        <v/>
      </c>
      <c r="E218" s="64" t="str">
        <f>IF(OR(C218="",A218=""),"",IF(A218&lt;'Page de garde'!$G$7,IF(VALUE(RIGHT(C218,2))&lt;50,76,96),INDEX(EC!$C$2:$C$677,MATCH(C218,EC,0))))</f>
        <v/>
      </c>
      <c r="F218" s="33" t="str">
        <f t="shared" si="22"/>
        <v/>
      </c>
      <c r="G218" s="38"/>
      <c r="H218" s="38"/>
      <c r="I218" s="38"/>
      <c r="J218" s="36"/>
      <c r="K218" s="29"/>
      <c r="L218" s="29"/>
      <c r="M218" s="31"/>
      <c r="N218" s="40">
        <f t="shared" si="23"/>
        <v>0</v>
      </c>
      <c r="P218" s="4" t="str">
        <f t="shared" si="24"/>
        <v/>
      </c>
      <c r="Q218" s="4" t="str">
        <f t="shared" si="25"/>
        <v/>
      </c>
      <c r="R218" s="4" t="str">
        <f t="shared" si="26"/>
        <v>/</v>
      </c>
      <c r="S218" s="4" t="str">
        <f t="shared" si="27"/>
        <v/>
      </c>
    </row>
    <row r="219" spans="1:19" x14ac:dyDescent="0.35">
      <c r="A219" s="54"/>
      <c r="B219" s="57"/>
      <c r="C219" s="60"/>
      <c r="D219" s="66" t="str">
        <f t="shared" si="21"/>
        <v/>
      </c>
      <c r="E219" s="64" t="str">
        <f>IF(OR(C219="",A219=""),"",IF(A219&lt;'Page de garde'!$G$7,IF(VALUE(RIGHT(C219,2))&lt;50,76,96),INDEX(EC!$C$2:$C$677,MATCH(C219,EC,0))))</f>
        <v/>
      </c>
      <c r="F219" s="33" t="str">
        <f t="shared" si="22"/>
        <v/>
      </c>
      <c r="G219" s="38"/>
      <c r="H219" s="38"/>
      <c r="I219" s="38"/>
      <c r="J219" s="36"/>
      <c r="K219" s="29"/>
      <c r="L219" s="29"/>
      <c r="M219" s="31"/>
      <c r="N219" s="40">
        <f t="shared" si="23"/>
        <v>0</v>
      </c>
      <c r="P219" s="4" t="str">
        <f t="shared" si="24"/>
        <v/>
      </c>
      <c r="Q219" s="4" t="str">
        <f t="shared" si="25"/>
        <v/>
      </c>
      <c r="R219" s="4" t="str">
        <f t="shared" si="26"/>
        <v>/</v>
      </c>
      <c r="S219" s="4" t="str">
        <f t="shared" si="27"/>
        <v/>
      </c>
    </row>
    <row r="220" spans="1:19" x14ac:dyDescent="0.35">
      <c r="A220" s="54"/>
      <c r="B220" s="57"/>
      <c r="C220" s="60"/>
      <c r="D220" s="66" t="str">
        <f t="shared" si="21"/>
        <v/>
      </c>
      <c r="E220" s="64" t="str">
        <f>IF(OR(C220="",A220=""),"",IF(A220&lt;'Page de garde'!$G$7,IF(VALUE(RIGHT(C220,2))&lt;50,76,96),INDEX(EC!$C$2:$C$677,MATCH(C220,EC,0))))</f>
        <v/>
      </c>
      <c r="F220" s="33" t="str">
        <f t="shared" si="22"/>
        <v/>
      </c>
      <c r="G220" s="38"/>
      <c r="H220" s="38"/>
      <c r="I220" s="38"/>
      <c r="J220" s="36"/>
      <c r="K220" s="29"/>
      <c r="L220" s="29"/>
      <c r="M220" s="31"/>
      <c r="N220" s="40">
        <f t="shared" si="23"/>
        <v>0</v>
      </c>
      <c r="P220" s="4" t="str">
        <f t="shared" si="24"/>
        <v/>
      </c>
      <c r="Q220" s="4" t="str">
        <f t="shared" si="25"/>
        <v/>
      </c>
      <c r="R220" s="4" t="str">
        <f t="shared" si="26"/>
        <v>/</v>
      </c>
      <c r="S220" s="4" t="str">
        <f t="shared" si="27"/>
        <v/>
      </c>
    </row>
    <row r="221" spans="1:19" x14ac:dyDescent="0.35">
      <c r="A221" s="54"/>
      <c r="B221" s="57"/>
      <c r="C221" s="60"/>
      <c r="D221" s="66" t="str">
        <f t="shared" si="21"/>
        <v/>
      </c>
      <c r="E221" s="64" t="str">
        <f>IF(OR(C221="",A221=""),"",IF(A221&lt;'Page de garde'!$G$7,IF(VALUE(RIGHT(C221,2))&lt;50,76,96),INDEX(EC!$C$2:$C$677,MATCH(C221,EC,0))))</f>
        <v/>
      </c>
      <c r="F221" s="33" t="str">
        <f t="shared" si="22"/>
        <v/>
      </c>
      <c r="G221" s="38"/>
      <c r="H221" s="38"/>
      <c r="I221" s="38"/>
      <c r="J221" s="36"/>
      <c r="K221" s="29"/>
      <c r="L221" s="29"/>
      <c r="M221" s="31"/>
      <c r="N221" s="40">
        <f t="shared" si="23"/>
        <v>0</v>
      </c>
      <c r="P221" s="4" t="str">
        <f t="shared" si="24"/>
        <v/>
      </c>
      <c r="Q221" s="4" t="str">
        <f t="shared" si="25"/>
        <v/>
      </c>
      <c r="R221" s="4" t="str">
        <f t="shared" si="26"/>
        <v>/</v>
      </c>
      <c r="S221" s="4" t="str">
        <f t="shared" si="27"/>
        <v/>
      </c>
    </row>
    <row r="222" spans="1:19" x14ac:dyDescent="0.35">
      <c r="A222" s="54"/>
      <c r="B222" s="57"/>
      <c r="C222" s="60"/>
      <c r="D222" s="66" t="str">
        <f t="shared" si="21"/>
        <v/>
      </c>
      <c r="E222" s="64" t="str">
        <f>IF(OR(C222="",A222=""),"",IF(A222&lt;'Page de garde'!$G$7,IF(VALUE(RIGHT(C222,2))&lt;50,76,96),INDEX(EC!$C$2:$C$677,MATCH(C222,EC,0))))</f>
        <v/>
      </c>
      <c r="F222" s="33" t="str">
        <f t="shared" si="22"/>
        <v/>
      </c>
      <c r="G222" s="38"/>
      <c r="H222" s="38"/>
      <c r="I222" s="38"/>
      <c r="J222" s="36"/>
      <c r="K222" s="29"/>
      <c r="L222" s="29"/>
      <c r="M222" s="31"/>
      <c r="N222" s="40">
        <f t="shared" si="23"/>
        <v>0</v>
      </c>
      <c r="P222" s="4" t="str">
        <f t="shared" si="24"/>
        <v/>
      </c>
      <c r="Q222" s="4" t="str">
        <f t="shared" si="25"/>
        <v/>
      </c>
      <c r="R222" s="4" t="str">
        <f t="shared" si="26"/>
        <v>/</v>
      </c>
      <c r="S222" s="4" t="str">
        <f t="shared" si="27"/>
        <v/>
      </c>
    </row>
    <row r="223" spans="1:19" x14ac:dyDescent="0.35">
      <c r="A223" s="54"/>
      <c r="B223" s="57"/>
      <c r="C223" s="60"/>
      <c r="D223" s="66" t="str">
        <f t="shared" si="21"/>
        <v/>
      </c>
      <c r="E223" s="64" t="str">
        <f>IF(OR(C223="",A223=""),"",IF(A223&lt;'Page de garde'!$G$7,IF(VALUE(RIGHT(C223,2))&lt;50,76,96),INDEX(EC!$C$2:$C$677,MATCH(C223,EC,0))))</f>
        <v/>
      </c>
      <c r="F223" s="33" t="str">
        <f t="shared" si="22"/>
        <v/>
      </c>
      <c r="G223" s="38"/>
      <c r="H223" s="38"/>
      <c r="I223" s="38"/>
      <c r="J223" s="36"/>
      <c r="K223" s="29"/>
      <c r="L223" s="29"/>
      <c r="M223" s="31"/>
      <c r="N223" s="40">
        <f t="shared" si="23"/>
        <v>0</v>
      </c>
      <c r="P223" s="4" t="str">
        <f t="shared" si="24"/>
        <v/>
      </c>
      <c r="Q223" s="4" t="str">
        <f t="shared" si="25"/>
        <v/>
      </c>
      <c r="R223" s="4" t="str">
        <f t="shared" si="26"/>
        <v>/</v>
      </c>
      <c r="S223" s="4" t="str">
        <f t="shared" si="27"/>
        <v/>
      </c>
    </row>
    <row r="224" spans="1:19" x14ac:dyDescent="0.35">
      <c r="A224" s="54"/>
      <c r="B224" s="57"/>
      <c r="C224" s="60"/>
      <c r="D224" s="66" t="str">
        <f t="shared" si="21"/>
        <v/>
      </c>
      <c r="E224" s="64" t="str">
        <f>IF(OR(C224="",A224=""),"",IF(A224&lt;'Page de garde'!$G$7,IF(VALUE(RIGHT(C224,2))&lt;50,76,96),INDEX(EC!$C$2:$C$677,MATCH(C224,EC,0))))</f>
        <v/>
      </c>
      <c r="F224" s="33" t="str">
        <f t="shared" si="22"/>
        <v/>
      </c>
      <c r="G224" s="38"/>
      <c r="H224" s="38"/>
      <c r="I224" s="38"/>
      <c r="J224" s="36"/>
      <c r="K224" s="29"/>
      <c r="L224" s="29"/>
      <c r="M224" s="31"/>
      <c r="N224" s="40">
        <f t="shared" si="23"/>
        <v>0</v>
      </c>
      <c r="P224" s="4" t="str">
        <f t="shared" si="24"/>
        <v/>
      </c>
      <c r="Q224" s="4" t="str">
        <f t="shared" si="25"/>
        <v/>
      </c>
      <c r="R224" s="4" t="str">
        <f t="shared" si="26"/>
        <v>/</v>
      </c>
      <c r="S224" s="4" t="str">
        <f t="shared" si="27"/>
        <v/>
      </c>
    </row>
    <row r="225" spans="1:19" x14ac:dyDescent="0.35">
      <c r="A225" s="54"/>
      <c r="B225" s="57"/>
      <c r="C225" s="60"/>
      <c r="D225" s="66" t="str">
        <f t="shared" si="21"/>
        <v/>
      </c>
      <c r="E225" s="64" t="str">
        <f>IF(OR(C225="",A225=""),"",IF(A225&lt;'Page de garde'!$G$7,IF(VALUE(RIGHT(C225,2))&lt;50,76,96),INDEX(EC!$C$2:$C$677,MATCH(C225,EC,0))))</f>
        <v/>
      </c>
      <c r="F225" s="33" t="str">
        <f t="shared" si="22"/>
        <v/>
      </c>
      <c r="G225" s="38"/>
      <c r="H225" s="38"/>
      <c r="I225" s="38"/>
      <c r="J225" s="36"/>
      <c r="K225" s="29"/>
      <c r="L225" s="29"/>
      <c r="M225" s="31"/>
      <c r="N225" s="40">
        <f t="shared" si="23"/>
        <v>0</v>
      </c>
      <c r="P225" s="4" t="str">
        <f t="shared" si="24"/>
        <v/>
      </c>
      <c r="Q225" s="4" t="str">
        <f t="shared" si="25"/>
        <v/>
      </c>
      <c r="R225" s="4" t="str">
        <f t="shared" si="26"/>
        <v>/</v>
      </c>
      <c r="S225" s="4" t="str">
        <f t="shared" si="27"/>
        <v/>
      </c>
    </row>
    <row r="226" spans="1:19" x14ac:dyDescent="0.35">
      <c r="A226" s="54"/>
      <c r="B226" s="57"/>
      <c r="C226" s="60"/>
      <c r="D226" s="66" t="str">
        <f t="shared" si="21"/>
        <v/>
      </c>
      <c r="E226" s="64" t="str">
        <f>IF(OR(C226="",A226=""),"",IF(A226&lt;'Page de garde'!$G$7,IF(VALUE(RIGHT(C226,2))&lt;50,76,96),INDEX(EC!$C$2:$C$677,MATCH(C226,EC,0))))</f>
        <v/>
      </c>
      <c r="F226" s="33" t="str">
        <f t="shared" si="22"/>
        <v/>
      </c>
      <c r="G226" s="38"/>
      <c r="H226" s="38"/>
      <c r="I226" s="38"/>
      <c r="J226" s="36"/>
      <c r="K226" s="29"/>
      <c r="L226" s="29"/>
      <c r="M226" s="31"/>
      <c r="N226" s="40">
        <f t="shared" si="23"/>
        <v>0</v>
      </c>
      <c r="P226" s="4" t="str">
        <f t="shared" si="24"/>
        <v/>
      </c>
      <c r="Q226" s="4" t="str">
        <f t="shared" si="25"/>
        <v/>
      </c>
      <c r="R226" s="4" t="str">
        <f t="shared" si="26"/>
        <v>/</v>
      </c>
      <c r="S226" s="4" t="str">
        <f t="shared" si="27"/>
        <v/>
      </c>
    </row>
    <row r="227" spans="1:19" x14ac:dyDescent="0.35">
      <c r="A227" s="54"/>
      <c r="B227" s="57"/>
      <c r="C227" s="60"/>
      <c r="D227" s="66" t="str">
        <f t="shared" si="21"/>
        <v/>
      </c>
      <c r="E227" s="64" t="str">
        <f>IF(OR(C227="",A227=""),"",IF(A227&lt;'Page de garde'!$G$7,IF(VALUE(RIGHT(C227,2))&lt;50,76,96),INDEX(EC!$C$2:$C$677,MATCH(C227,EC,0))))</f>
        <v/>
      </c>
      <c r="F227" s="33" t="str">
        <f t="shared" si="22"/>
        <v/>
      </c>
      <c r="G227" s="38"/>
      <c r="H227" s="38"/>
      <c r="I227" s="38"/>
      <c r="J227" s="36"/>
      <c r="K227" s="29"/>
      <c r="L227" s="29"/>
      <c r="M227" s="31"/>
      <c r="N227" s="40">
        <f t="shared" si="23"/>
        <v>0</v>
      </c>
      <c r="P227" s="4" t="str">
        <f t="shared" si="24"/>
        <v/>
      </c>
      <c r="Q227" s="4" t="str">
        <f t="shared" si="25"/>
        <v/>
      </c>
      <c r="R227" s="4" t="str">
        <f t="shared" si="26"/>
        <v>/</v>
      </c>
      <c r="S227" s="4" t="str">
        <f t="shared" si="27"/>
        <v/>
      </c>
    </row>
    <row r="228" spans="1:19" x14ac:dyDescent="0.35">
      <c r="A228" s="54"/>
      <c r="B228" s="57"/>
      <c r="C228" s="60"/>
      <c r="D228" s="66" t="str">
        <f t="shared" si="21"/>
        <v/>
      </c>
      <c r="E228" s="64" t="str">
        <f>IF(OR(C228="",A228=""),"",IF(A228&lt;'Page de garde'!$G$7,IF(VALUE(RIGHT(C228,2))&lt;50,76,96),INDEX(EC!$C$2:$C$677,MATCH(C228,EC,0))))</f>
        <v/>
      </c>
      <c r="F228" s="33" t="str">
        <f t="shared" si="22"/>
        <v/>
      </c>
      <c r="G228" s="38"/>
      <c r="H228" s="38"/>
      <c r="I228" s="38"/>
      <c r="J228" s="36"/>
      <c r="K228" s="29"/>
      <c r="L228" s="29"/>
      <c r="M228" s="31"/>
      <c r="N228" s="40">
        <f t="shared" si="23"/>
        <v>0</v>
      </c>
      <c r="P228" s="4" t="str">
        <f t="shared" si="24"/>
        <v/>
      </c>
      <c r="Q228" s="4" t="str">
        <f t="shared" si="25"/>
        <v/>
      </c>
      <c r="R228" s="4" t="str">
        <f t="shared" si="26"/>
        <v>/</v>
      </c>
      <c r="S228" s="4" t="str">
        <f t="shared" si="27"/>
        <v/>
      </c>
    </row>
    <row r="229" spans="1:19" x14ac:dyDescent="0.35">
      <c r="A229" s="54"/>
      <c r="B229" s="57"/>
      <c r="C229" s="60"/>
      <c r="D229" s="66" t="str">
        <f t="shared" si="21"/>
        <v/>
      </c>
      <c r="E229" s="64" t="str">
        <f>IF(OR(C229="",A229=""),"",IF(A229&lt;'Page de garde'!$G$7,IF(VALUE(RIGHT(C229,2))&lt;50,76,96),INDEX(EC!$C$2:$C$677,MATCH(C229,EC,0))))</f>
        <v/>
      </c>
      <c r="F229" s="33" t="str">
        <f t="shared" si="22"/>
        <v/>
      </c>
      <c r="G229" s="38"/>
      <c r="H229" s="38"/>
      <c r="I229" s="38"/>
      <c r="J229" s="36"/>
      <c r="K229" s="29"/>
      <c r="L229" s="29"/>
      <c r="M229" s="31"/>
      <c r="N229" s="40">
        <f t="shared" si="23"/>
        <v>0</v>
      </c>
      <c r="P229" s="4" t="str">
        <f t="shared" si="24"/>
        <v/>
      </c>
      <c r="Q229" s="4" t="str">
        <f t="shared" si="25"/>
        <v/>
      </c>
      <c r="R229" s="4" t="str">
        <f t="shared" si="26"/>
        <v>/</v>
      </c>
      <c r="S229" s="4" t="str">
        <f t="shared" si="27"/>
        <v/>
      </c>
    </row>
    <row r="230" spans="1:19" x14ac:dyDescent="0.35">
      <c r="A230" s="54"/>
      <c r="B230" s="57"/>
      <c r="C230" s="60"/>
      <c r="D230" s="66" t="str">
        <f t="shared" si="21"/>
        <v/>
      </c>
      <c r="E230" s="64" t="str">
        <f>IF(OR(C230="",A230=""),"",IF(A230&lt;'Page de garde'!$G$7,IF(VALUE(RIGHT(C230,2))&lt;50,76,96),INDEX(EC!$C$2:$C$677,MATCH(C230,EC,0))))</f>
        <v/>
      </c>
      <c r="F230" s="33" t="str">
        <f t="shared" si="22"/>
        <v/>
      </c>
      <c r="G230" s="38"/>
      <c r="H230" s="38"/>
      <c r="I230" s="38"/>
      <c r="J230" s="36"/>
      <c r="K230" s="29"/>
      <c r="L230" s="29"/>
      <c r="M230" s="31"/>
      <c r="N230" s="40">
        <f t="shared" si="23"/>
        <v>0</v>
      </c>
      <c r="P230" s="4" t="str">
        <f t="shared" si="24"/>
        <v/>
      </c>
      <c r="Q230" s="4" t="str">
        <f t="shared" si="25"/>
        <v/>
      </c>
      <c r="R230" s="4" t="str">
        <f t="shared" si="26"/>
        <v>/</v>
      </c>
      <c r="S230" s="4" t="str">
        <f t="shared" si="27"/>
        <v/>
      </c>
    </row>
    <row r="231" spans="1:19" x14ac:dyDescent="0.35">
      <c r="A231" s="54"/>
      <c r="B231" s="57"/>
      <c r="C231" s="60"/>
      <c r="D231" s="66" t="str">
        <f t="shared" si="21"/>
        <v/>
      </c>
      <c r="E231" s="64" t="str">
        <f>IF(OR(C231="",A231=""),"",IF(A231&lt;'Page de garde'!$G$7,IF(VALUE(RIGHT(C231,2))&lt;50,76,96),INDEX(EC!$C$2:$C$677,MATCH(C231,EC,0))))</f>
        <v/>
      </c>
      <c r="F231" s="33" t="str">
        <f t="shared" si="22"/>
        <v/>
      </c>
      <c r="G231" s="38"/>
      <c r="H231" s="38"/>
      <c r="I231" s="38"/>
      <c r="J231" s="36"/>
      <c r="K231" s="29"/>
      <c r="L231" s="29"/>
      <c r="M231" s="31"/>
      <c r="N231" s="40">
        <f t="shared" si="23"/>
        <v>0</v>
      </c>
      <c r="P231" s="4" t="str">
        <f t="shared" si="24"/>
        <v/>
      </c>
      <c r="Q231" s="4" t="str">
        <f t="shared" si="25"/>
        <v/>
      </c>
      <c r="R231" s="4" t="str">
        <f t="shared" si="26"/>
        <v>/</v>
      </c>
      <c r="S231" s="4" t="str">
        <f t="shared" si="27"/>
        <v/>
      </c>
    </row>
    <row r="232" spans="1:19" x14ac:dyDescent="0.35">
      <c r="A232" s="54"/>
      <c r="B232" s="57"/>
      <c r="C232" s="60"/>
      <c r="D232" s="66" t="str">
        <f t="shared" si="21"/>
        <v/>
      </c>
      <c r="E232" s="64" t="str">
        <f>IF(OR(C232="",A232=""),"",IF(A232&lt;'Page de garde'!$G$7,IF(VALUE(RIGHT(C232,2))&lt;50,76,96),INDEX(EC!$C$2:$C$677,MATCH(C232,EC,0))))</f>
        <v/>
      </c>
      <c r="F232" s="33" t="str">
        <f t="shared" si="22"/>
        <v/>
      </c>
      <c r="G232" s="38"/>
      <c r="H232" s="38"/>
      <c r="I232" s="38"/>
      <c r="J232" s="36"/>
      <c r="K232" s="29"/>
      <c r="L232" s="29"/>
      <c r="M232" s="31"/>
      <c r="N232" s="40">
        <f t="shared" si="23"/>
        <v>0</v>
      </c>
      <c r="P232" s="4" t="str">
        <f t="shared" si="24"/>
        <v/>
      </c>
      <c r="Q232" s="4" t="str">
        <f t="shared" si="25"/>
        <v/>
      </c>
      <c r="R232" s="4" t="str">
        <f t="shared" si="26"/>
        <v>/</v>
      </c>
      <c r="S232" s="4" t="str">
        <f t="shared" si="27"/>
        <v/>
      </c>
    </row>
    <row r="233" spans="1:19" x14ac:dyDescent="0.35">
      <c r="A233" s="54"/>
      <c r="B233" s="57"/>
      <c r="C233" s="60"/>
      <c r="D233" s="66" t="str">
        <f t="shared" si="21"/>
        <v/>
      </c>
      <c r="E233" s="64" t="str">
        <f>IF(OR(C233="",A233=""),"",IF(A233&lt;'Page de garde'!$G$7,IF(VALUE(RIGHT(C233,2))&lt;50,76,96),INDEX(EC!$C$2:$C$677,MATCH(C233,EC,0))))</f>
        <v/>
      </c>
      <c r="F233" s="33" t="str">
        <f t="shared" si="22"/>
        <v/>
      </c>
      <c r="G233" s="38"/>
      <c r="H233" s="38"/>
      <c r="I233" s="38"/>
      <c r="J233" s="36"/>
      <c r="K233" s="29"/>
      <c r="L233" s="29"/>
      <c r="M233" s="31"/>
      <c r="N233" s="40">
        <f t="shared" si="23"/>
        <v>0</v>
      </c>
      <c r="P233" s="4" t="str">
        <f t="shared" si="24"/>
        <v/>
      </c>
      <c r="Q233" s="4" t="str">
        <f t="shared" si="25"/>
        <v/>
      </c>
      <c r="R233" s="4" t="str">
        <f t="shared" si="26"/>
        <v>/</v>
      </c>
      <c r="S233" s="4" t="str">
        <f t="shared" si="27"/>
        <v/>
      </c>
    </row>
    <row r="234" spans="1:19" x14ac:dyDescent="0.35">
      <c r="A234" s="54"/>
      <c r="B234" s="57"/>
      <c r="C234" s="60"/>
      <c r="D234" s="66" t="str">
        <f t="shared" si="21"/>
        <v/>
      </c>
      <c r="E234" s="64" t="str">
        <f>IF(OR(C234="",A234=""),"",IF(A234&lt;'Page de garde'!$G$7,IF(VALUE(RIGHT(C234,2))&lt;50,76,96),INDEX(EC!$C$2:$C$677,MATCH(C234,EC,0))))</f>
        <v/>
      </c>
      <c r="F234" s="33" t="str">
        <f t="shared" si="22"/>
        <v/>
      </c>
      <c r="G234" s="38"/>
      <c r="H234" s="38"/>
      <c r="I234" s="38"/>
      <c r="J234" s="36"/>
      <c r="K234" s="29"/>
      <c r="L234" s="29"/>
      <c r="M234" s="31"/>
      <c r="N234" s="40">
        <f t="shared" si="23"/>
        <v>0</v>
      </c>
      <c r="P234" s="4" t="str">
        <f t="shared" si="24"/>
        <v/>
      </c>
      <c r="Q234" s="4" t="str">
        <f t="shared" si="25"/>
        <v/>
      </c>
      <c r="R234" s="4" t="str">
        <f t="shared" si="26"/>
        <v>/</v>
      </c>
      <c r="S234" s="4" t="str">
        <f t="shared" si="27"/>
        <v/>
      </c>
    </row>
    <row r="235" spans="1:19" x14ac:dyDescent="0.35">
      <c r="A235" s="54"/>
      <c r="B235" s="57"/>
      <c r="C235" s="60"/>
      <c r="D235" s="66" t="str">
        <f t="shared" si="21"/>
        <v/>
      </c>
      <c r="E235" s="64" t="str">
        <f>IF(OR(C235="",A235=""),"",IF(A235&lt;'Page de garde'!$G$7,IF(VALUE(RIGHT(C235,2))&lt;50,76,96),INDEX(EC!$C$2:$C$677,MATCH(C235,EC,0))))</f>
        <v/>
      </c>
      <c r="F235" s="33" t="str">
        <f t="shared" si="22"/>
        <v/>
      </c>
      <c r="G235" s="38"/>
      <c r="H235" s="38"/>
      <c r="I235" s="38"/>
      <c r="J235" s="36"/>
      <c r="K235" s="29"/>
      <c r="L235" s="29"/>
      <c r="M235" s="31"/>
      <c r="N235" s="40">
        <f t="shared" si="23"/>
        <v>0</v>
      </c>
      <c r="P235" s="4" t="str">
        <f t="shared" si="24"/>
        <v/>
      </c>
      <c r="Q235" s="4" t="str">
        <f t="shared" si="25"/>
        <v/>
      </c>
      <c r="R235" s="4" t="str">
        <f t="shared" si="26"/>
        <v>/</v>
      </c>
      <c r="S235" s="4" t="str">
        <f t="shared" si="27"/>
        <v/>
      </c>
    </row>
    <row r="236" spans="1:19" x14ac:dyDescent="0.35">
      <c r="A236" s="54"/>
      <c r="B236" s="57"/>
      <c r="C236" s="60"/>
      <c r="D236" s="66" t="str">
        <f t="shared" si="21"/>
        <v/>
      </c>
      <c r="E236" s="64" t="str">
        <f>IF(OR(C236="",A236=""),"",IF(A236&lt;'Page de garde'!$G$7,IF(VALUE(RIGHT(C236,2))&lt;50,76,96),INDEX(EC!$C$2:$C$677,MATCH(C236,EC,0))))</f>
        <v/>
      </c>
      <c r="F236" s="33" t="str">
        <f t="shared" si="22"/>
        <v/>
      </c>
      <c r="G236" s="38"/>
      <c r="H236" s="38"/>
      <c r="I236" s="38"/>
      <c r="J236" s="36"/>
      <c r="K236" s="29"/>
      <c r="L236" s="29"/>
      <c r="M236" s="31"/>
      <c r="N236" s="40">
        <f t="shared" si="23"/>
        <v>0</v>
      </c>
      <c r="P236" s="4" t="str">
        <f t="shared" si="24"/>
        <v/>
      </c>
      <c r="Q236" s="4" t="str">
        <f t="shared" si="25"/>
        <v/>
      </c>
      <c r="R236" s="4" t="str">
        <f t="shared" si="26"/>
        <v>/</v>
      </c>
      <c r="S236" s="4" t="str">
        <f t="shared" si="27"/>
        <v/>
      </c>
    </row>
    <row r="237" spans="1:19" x14ac:dyDescent="0.35">
      <c r="A237" s="54"/>
      <c r="B237" s="57"/>
      <c r="C237" s="60"/>
      <c r="D237" s="66" t="str">
        <f t="shared" si="21"/>
        <v/>
      </c>
      <c r="E237" s="64" t="str">
        <f>IF(OR(C237="",A237=""),"",IF(A237&lt;'Page de garde'!$G$7,IF(VALUE(RIGHT(C237,2))&lt;50,76,96),INDEX(EC!$C$2:$C$677,MATCH(C237,EC,0))))</f>
        <v/>
      </c>
      <c r="F237" s="33" t="str">
        <f t="shared" si="22"/>
        <v/>
      </c>
      <c r="G237" s="38"/>
      <c r="H237" s="38"/>
      <c r="I237" s="38"/>
      <c r="J237" s="36"/>
      <c r="K237" s="29"/>
      <c r="L237" s="29"/>
      <c r="M237" s="31"/>
      <c r="N237" s="40">
        <f t="shared" si="23"/>
        <v>0</v>
      </c>
      <c r="P237" s="4" t="str">
        <f t="shared" si="24"/>
        <v/>
      </c>
      <c r="Q237" s="4" t="str">
        <f t="shared" si="25"/>
        <v/>
      </c>
      <c r="R237" s="4" t="str">
        <f t="shared" si="26"/>
        <v>/</v>
      </c>
      <c r="S237" s="4" t="str">
        <f t="shared" si="27"/>
        <v/>
      </c>
    </row>
    <row r="238" spans="1:19" x14ac:dyDescent="0.35">
      <c r="A238" s="54"/>
      <c r="B238" s="57"/>
      <c r="C238" s="60"/>
      <c r="D238" s="66" t="str">
        <f t="shared" si="21"/>
        <v/>
      </c>
      <c r="E238" s="64" t="str">
        <f>IF(OR(C238="",A238=""),"",IF(A238&lt;'Page de garde'!$G$7,IF(VALUE(RIGHT(C238,2))&lt;50,76,96),INDEX(EC!$C$2:$C$677,MATCH(C238,EC,0))))</f>
        <v/>
      </c>
      <c r="F238" s="33" t="str">
        <f t="shared" si="22"/>
        <v/>
      </c>
      <c r="G238" s="38"/>
      <c r="H238" s="38"/>
      <c r="I238" s="38"/>
      <c r="J238" s="36"/>
      <c r="K238" s="29"/>
      <c r="L238" s="29"/>
      <c r="M238" s="31"/>
      <c r="N238" s="40">
        <f t="shared" si="23"/>
        <v>0</v>
      </c>
      <c r="P238" s="4" t="str">
        <f t="shared" si="24"/>
        <v/>
      </c>
      <c r="Q238" s="4" t="str">
        <f t="shared" si="25"/>
        <v/>
      </c>
      <c r="R238" s="4" t="str">
        <f t="shared" si="26"/>
        <v>/</v>
      </c>
      <c r="S238" s="4" t="str">
        <f t="shared" si="27"/>
        <v/>
      </c>
    </row>
    <row r="239" spans="1:19" x14ac:dyDescent="0.35">
      <c r="A239" s="54"/>
      <c r="B239" s="57"/>
      <c r="C239" s="60"/>
      <c r="D239" s="66" t="str">
        <f t="shared" si="21"/>
        <v/>
      </c>
      <c r="E239" s="64" t="str">
        <f>IF(OR(C239="",A239=""),"",IF(A239&lt;'Page de garde'!$G$7,IF(VALUE(RIGHT(C239,2))&lt;50,76,96),INDEX(EC!$C$2:$C$677,MATCH(C239,EC,0))))</f>
        <v/>
      </c>
      <c r="F239" s="33" t="str">
        <f t="shared" si="22"/>
        <v/>
      </c>
      <c r="G239" s="38"/>
      <c r="H239" s="38"/>
      <c r="I239" s="38"/>
      <c r="J239" s="36"/>
      <c r="K239" s="29"/>
      <c r="L239" s="29"/>
      <c r="M239" s="31"/>
      <c r="N239" s="40">
        <f t="shared" si="23"/>
        <v>0</v>
      </c>
      <c r="P239" s="4" t="str">
        <f t="shared" si="24"/>
        <v/>
      </c>
      <c r="Q239" s="4" t="str">
        <f t="shared" si="25"/>
        <v/>
      </c>
      <c r="R239" s="4" t="str">
        <f t="shared" si="26"/>
        <v>/</v>
      </c>
      <c r="S239" s="4" t="str">
        <f t="shared" si="27"/>
        <v/>
      </c>
    </row>
    <row r="240" spans="1:19" x14ac:dyDescent="0.35">
      <c r="A240" s="54"/>
      <c r="B240" s="57"/>
      <c r="C240" s="60"/>
      <c r="D240" s="66" t="str">
        <f t="shared" si="21"/>
        <v/>
      </c>
      <c r="E240" s="64" t="str">
        <f>IF(OR(C240="",A240=""),"",IF(A240&lt;'Page de garde'!$G$7,IF(VALUE(RIGHT(C240,2))&lt;50,76,96),INDEX(EC!$C$2:$C$677,MATCH(C240,EC,0))))</f>
        <v/>
      </c>
      <c r="F240" s="33" t="str">
        <f t="shared" si="22"/>
        <v/>
      </c>
      <c r="G240" s="38"/>
      <c r="H240" s="38"/>
      <c r="I240" s="38"/>
      <c r="J240" s="36"/>
      <c r="K240" s="29"/>
      <c r="L240" s="29"/>
      <c r="M240" s="31"/>
      <c r="N240" s="40">
        <f t="shared" si="23"/>
        <v>0</v>
      </c>
      <c r="P240" s="4" t="str">
        <f t="shared" si="24"/>
        <v/>
      </c>
      <c r="Q240" s="4" t="str">
        <f t="shared" si="25"/>
        <v/>
      </c>
      <c r="R240" s="4" t="str">
        <f t="shared" si="26"/>
        <v>/</v>
      </c>
      <c r="S240" s="4" t="str">
        <f t="shared" si="27"/>
        <v/>
      </c>
    </row>
    <row r="241" spans="1:19" x14ac:dyDescent="0.35">
      <c r="A241" s="54"/>
      <c r="B241" s="57"/>
      <c r="C241" s="60"/>
      <c r="D241" s="66" t="str">
        <f t="shared" si="21"/>
        <v/>
      </c>
      <c r="E241" s="64" t="str">
        <f>IF(OR(C241="",A241=""),"",IF(A241&lt;'Page de garde'!$G$7,IF(VALUE(RIGHT(C241,2))&lt;50,76,96),INDEX(EC!$C$2:$C$677,MATCH(C241,EC,0))))</f>
        <v/>
      </c>
      <c r="F241" s="33" t="str">
        <f t="shared" si="22"/>
        <v/>
      </c>
      <c r="G241" s="38"/>
      <c r="H241" s="38"/>
      <c r="I241" s="38"/>
      <c r="J241" s="36"/>
      <c r="K241" s="29"/>
      <c r="L241" s="29"/>
      <c r="M241" s="31"/>
      <c r="N241" s="40">
        <f t="shared" si="23"/>
        <v>0</v>
      </c>
      <c r="P241" s="4" t="str">
        <f t="shared" si="24"/>
        <v/>
      </c>
      <c r="Q241" s="4" t="str">
        <f t="shared" si="25"/>
        <v/>
      </c>
      <c r="R241" s="4" t="str">
        <f t="shared" si="26"/>
        <v>/</v>
      </c>
      <c r="S241" s="4" t="str">
        <f t="shared" si="27"/>
        <v/>
      </c>
    </row>
    <row r="242" spans="1:19" x14ac:dyDescent="0.35">
      <c r="A242" s="54"/>
      <c r="B242" s="57"/>
      <c r="C242" s="60"/>
      <c r="D242" s="66" t="str">
        <f t="shared" si="21"/>
        <v/>
      </c>
      <c r="E242" s="64" t="str">
        <f>IF(OR(C242="",A242=""),"",IF(A242&lt;'Page de garde'!$G$7,IF(VALUE(RIGHT(C242,2))&lt;50,76,96),INDEX(EC!$C$2:$C$677,MATCH(C242,EC,0))))</f>
        <v/>
      </c>
      <c r="F242" s="33" t="str">
        <f t="shared" si="22"/>
        <v/>
      </c>
      <c r="G242" s="38"/>
      <c r="H242" s="38"/>
      <c r="I242" s="38"/>
      <c r="J242" s="36"/>
      <c r="K242" s="29"/>
      <c r="L242" s="29"/>
      <c r="M242" s="31"/>
      <c r="N242" s="40">
        <f t="shared" si="23"/>
        <v>0</v>
      </c>
      <c r="P242" s="4" t="str">
        <f t="shared" si="24"/>
        <v/>
      </c>
      <c r="Q242" s="4" t="str">
        <f t="shared" si="25"/>
        <v/>
      </c>
      <c r="R242" s="4" t="str">
        <f t="shared" si="26"/>
        <v>/</v>
      </c>
      <c r="S242" s="4" t="str">
        <f t="shared" si="27"/>
        <v/>
      </c>
    </row>
    <row r="243" spans="1:19" x14ac:dyDescent="0.35">
      <c r="A243" s="54"/>
      <c r="B243" s="57"/>
      <c r="C243" s="60"/>
      <c r="D243" s="66" t="str">
        <f t="shared" si="21"/>
        <v/>
      </c>
      <c r="E243" s="64" t="str">
        <f>IF(OR(C243="",A243=""),"",IF(A243&lt;'Page de garde'!$G$7,IF(VALUE(RIGHT(C243,2))&lt;50,76,96),INDEX(EC!$C$2:$C$677,MATCH(C243,EC,0))))</f>
        <v/>
      </c>
      <c r="F243" s="33" t="str">
        <f t="shared" si="22"/>
        <v/>
      </c>
      <c r="G243" s="38"/>
      <c r="H243" s="38"/>
      <c r="I243" s="38"/>
      <c r="J243" s="36"/>
      <c r="K243" s="29"/>
      <c r="L243" s="29"/>
      <c r="M243" s="31"/>
      <c r="N243" s="40">
        <f t="shared" si="23"/>
        <v>0</v>
      </c>
      <c r="P243" s="4" t="str">
        <f t="shared" si="24"/>
        <v/>
      </c>
      <c r="Q243" s="4" t="str">
        <f t="shared" si="25"/>
        <v/>
      </c>
      <c r="R243" s="4" t="str">
        <f t="shared" si="26"/>
        <v>/</v>
      </c>
      <c r="S243" s="4" t="str">
        <f t="shared" si="27"/>
        <v/>
      </c>
    </row>
    <row r="244" spans="1:19" x14ac:dyDescent="0.35">
      <c r="A244" s="54"/>
      <c r="B244" s="57"/>
      <c r="C244" s="60"/>
      <c r="D244" s="66" t="str">
        <f t="shared" si="21"/>
        <v/>
      </c>
      <c r="E244" s="64" t="str">
        <f>IF(OR(C244="",A244=""),"",IF(A244&lt;'Page de garde'!$G$7,IF(VALUE(RIGHT(C244,2))&lt;50,76,96),INDEX(EC!$C$2:$C$677,MATCH(C244,EC,0))))</f>
        <v/>
      </c>
      <c r="F244" s="33" t="str">
        <f t="shared" si="22"/>
        <v/>
      </c>
      <c r="G244" s="38"/>
      <c r="H244" s="38"/>
      <c r="I244" s="38"/>
      <c r="J244" s="36"/>
      <c r="K244" s="29"/>
      <c r="L244" s="29"/>
      <c r="M244" s="31"/>
      <c r="N244" s="40">
        <f t="shared" si="23"/>
        <v>0</v>
      </c>
      <c r="P244" s="4" t="str">
        <f t="shared" si="24"/>
        <v/>
      </c>
      <c r="Q244" s="4" t="str">
        <f t="shared" si="25"/>
        <v/>
      </c>
      <c r="R244" s="4" t="str">
        <f t="shared" si="26"/>
        <v>/</v>
      </c>
      <c r="S244" s="4" t="str">
        <f t="shared" si="27"/>
        <v/>
      </c>
    </row>
    <row r="245" spans="1:19" x14ac:dyDescent="0.35">
      <c r="A245" s="54"/>
      <c r="B245" s="57"/>
      <c r="C245" s="60"/>
      <c r="D245" s="66" t="str">
        <f t="shared" si="21"/>
        <v/>
      </c>
      <c r="E245" s="64" t="str">
        <f>IF(OR(C245="",A245=""),"",IF(A245&lt;'Page de garde'!$G$7,IF(VALUE(RIGHT(C245,2))&lt;50,76,96),INDEX(EC!$C$2:$C$677,MATCH(C245,EC,0))))</f>
        <v/>
      </c>
      <c r="F245" s="33" t="str">
        <f t="shared" si="22"/>
        <v/>
      </c>
      <c r="G245" s="38"/>
      <c r="H245" s="38"/>
      <c r="I245" s="38"/>
      <c r="J245" s="36"/>
      <c r="K245" s="29"/>
      <c r="L245" s="29"/>
      <c r="M245" s="31"/>
      <c r="N245" s="40">
        <f t="shared" si="23"/>
        <v>0</v>
      </c>
      <c r="P245" s="4" t="str">
        <f t="shared" si="24"/>
        <v/>
      </c>
      <c r="Q245" s="4" t="str">
        <f t="shared" si="25"/>
        <v/>
      </c>
      <c r="R245" s="4" t="str">
        <f t="shared" si="26"/>
        <v>/</v>
      </c>
      <c r="S245" s="4" t="str">
        <f t="shared" si="27"/>
        <v/>
      </c>
    </row>
    <row r="246" spans="1:19" x14ac:dyDescent="0.35">
      <c r="A246" s="54"/>
      <c r="B246" s="57"/>
      <c r="C246" s="60"/>
      <c r="D246" s="66" t="str">
        <f t="shared" si="21"/>
        <v/>
      </c>
      <c r="E246" s="64" t="str">
        <f>IF(OR(C246="",A246=""),"",IF(A246&lt;'Page de garde'!$G$7,IF(VALUE(RIGHT(C246,2))&lt;50,76,96),INDEX(EC!$C$2:$C$677,MATCH(C246,EC,0))))</f>
        <v/>
      </c>
      <c r="F246" s="33" t="str">
        <f t="shared" si="22"/>
        <v/>
      </c>
      <c r="G246" s="38"/>
      <c r="H246" s="38"/>
      <c r="I246" s="38"/>
      <c r="J246" s="36"/>
      <c r="K246" s="29"/>
      <c r="L246" s="29"/>
      <c r="M246" s="31"/>
      <c r="N246" s="40">
        <f t="shared" si="23"/>
        <v>0</v>
      </c>
      <c r="P246" s="4" t="str">
        <f t="shared" si="24"/>
        <v/>
      </c>
      <c r="Q246" s="4" t="str">
        <f t="shared" si="25"/>
        <v/>
      </c>
      <c r="R246" s="4" t="str">
        <f t="shared" si="26"/>
        <v>/</v>
      </c>
      <c r="S246" s="4" t="str">
        <f t="shared" si="27"/>
        <v/>
      </c>
    </row>
    <row r="247" spans="1:19" x14ac:dyDescent="0.35">
      <c r="A247" s="54"/>
      <c r="B247" s="57"/>
      <c r="C247" s="60"/>
      <c r="D247" s="66" t="str">
        <f t="shared" si="21"/>
        <v/>
      </c>
      <c r="E247" s="64" t="str">
        <f>IF(OR(C247="",A247=""),"",IF(A247&lt;'Page de garde'!$G$7,IF(VALUE(RIGHT(C247,2))&lt;50,76,96),INDEX(EC!$C$2:$C$677,MATCH(C247,EC,0))))</f>
        <v/>
      </c>
      <c r="F247" s="33" t="str">
        <f t="shared" si="22"/>
        <v/>
      </c>
      <c r="G247" s="38"/>
      <c r="H247" s="38"/>
      <c r="I247" s="38"/>
      <c r="J247" s="36"/>
      <c r="K247" s="29"/>
      <c r="L247" s="29"/>
      <c r="M247" s="31"/>
      <c r="N247" s="40">
        <f t="shared" si="23"/>
        <v>0</v>
      </c>
      <c r="P247" s="4" t="str">
        <f t="shared" si="24"/>
        <v/>
      </c>
      <c r="Q247" s="4" t="str">
        <f t="shared" si="25"/>
        <v/>
      </c>
      <c r="R247" s="4" t="str">
        <f t="shared" si="26"/>
        <v>/</v>
      </c>
      <c r="S247" s="4" t="str">
        <f t="shared" si="27"/>
        <v/>
      </c>
    </row>
    <row r="248" spans="1:19" x14ac:dyDescent="0.35">
      <c r="A248" s="54"/>
      <c r="B248" s="57"/>
      <c r="C248" s="60"/>
      <c r="D248" s="66" t="str">
        <f t="shared" si="21"/>
        <v/>
      </c>
      <c r="E248" s="64" t="str">
        <f>IF(OR(C248="",A248=""),"",IF(A248&lt;'Page de garde'!$G$7,IF(VALUE(RIGHT(C248,2))&lt;50,76,96),INDEX(EC!$C$2:$C$677,MATCH(C248,EC,0))))</f>
        <v/>
      </c>
      <c r="F248" s="33" t="str">
        <f t="shared" si="22"/>
        <v/>
      </c>
      <c r="G248" s="38"/>
      <c r="H248" s="38"/>
      <c r="I248" s="38"/>
      <c r="J248" s="36"/>
      <c r="K248" s="29"/>
      <c r="L248" s="29"/>
      <c r="M248" s="31"/>
      <c r="N248" s="40">
        <f t="shared" si="23"/>
        <v>0</v>
      </c>
      <c r="P248" s="4" t="str">
        <f t="shared" si="24"/>
        <v/>
      </c>
      <c r="Q248" s="4" t="str">
        <f t="shared" si="25"/>
        <v/>
      </c>
      <c r="R248" s="4" t="str">
        <f t="shared" si="26"/>
        <v>/</v>
      </c>
      <c r="S248" s="4" t="str">
        <f t="shared" si="27"/>
        <v/>
      </c>
    </row>
    <row r="249" spans="1:19" x14ac:dyDescent="0.35">
      <c r="A249" s="54"/>
      <c r="B249" s="57"/>
      <c r="C249" s="60"/>
      <c r="D249" s="66" t="str">
        <f t="shared" si="21"/>
        <v/>
      </c>
      <c r="E249" s="64" t="str">
        <f>IF(OR(C249="",A249=""),"",IF(A249&lt;'Page de garde'!$G$7,IF(VALUE(RIGHT(C249,2))&lt;50,76,96),INDEX(EC!$C$2:$C$677,MATCH(C249,EC,0))))</f>
        <v/>
      </c>
      <c r="F249" s="33" t="str">
        <f t="shared" si="22"/>
        <v/>
      </c>
      <c r="G249" s="38"/>
      <c r="H249" s="38"/>
      <c r="I249" s="38"/>
      <c r="J249" s="36"/>
      <c r="K249" s="29"/>
      <c r="L249" s="29"/>
      <c r="M249" s="31"/>
      <c r="N249" s="40">
        <f t="shared" si="23"/>
        <v>0</v>
      </c>
      <c r="P249" s="4" t="str">
        <f t="shared" si="24"/>
        <v/>
      </c>
      <c r="Q249" s="4" t="str">
        <f t="shared" si="25"/>
        <v/>
      </c>
      <c r="R249" s="4" t="str">
        <f t="shared" si="26"/>
        <v>/</v>
      </c>
      <c r="S249" s="4" t="str">
        <f t="shared" si="27"/>
        <v/>
      </c>
    </row>
    <row r="250" spans="1:19" x14ac:dyDescent="0.35">
      <c r="A250" s="54"/>
      <c r="B250" s="57"/>
      <c r="C250" s="60"/>
      <c r="D250" s="66" t="str">
        <f t="shared" si="21"/>
        <v/>
      </c>
      <c r="E250" s="64" t="str">
        <f>IF(OR(C250="",A250=""),"",IF(A250&lt;'Page de garde'!$G$7,IF(VALUE(RIGHT(C250,2))&lt;50,76,96),INDEX(EC!$C$2:$C$677,MATCH(C250,EC,0))))</f>
        <v/>
      </c>
      <c r="F250" s="33" t="str">
        <f t="shared" si="22"/>
        <v/>
      </c>
      <c r="G250" s="38"/>
      <c r="H250" s="38"/>
      <c r="I250" s="38"/>
      <c r="J250" s="36"/>
      <c r="K250" s="29"/>
      <c r="L250" s="29"/>
      <c r="M250" s="31"/>
      <c r="N250" s="40">
        <f t="shared" si="23"/>
        <v>0</v>
      </c>
      <c r="P250" s="4" t="str">
        <f t="shared" si="24"/>
        <v/>
      </c>
      <c r="Q250" s="4" t="str">
        <f t="shared" si="25"/>
        <v/>
      </c>
      <c r="R250" s="4" t="str">
        <f t="shared" si="26"/>
        <v>/</v>
      </c>
      <c r="S250" s="4" t="str">
        <f t="shared" si="27"/>
        <v/>
      </c>
    </row>
    <row r="251" spans="1:19" x14ac:dyDescent="0.35">
      <c r="A251" s="54"/>
      <c r="B251" s="57"/>
      <c r="C251" s="60"/>
      <c r="D251" s="66" t="str">
        <f t="shared" si="21"/>
        <v/>
      </c>
      <c r="E251" s="64" t="str">
        <f>IF(OR(C251="",A251=""),"",IF(A251&lt;'Page de garde'!$G$7,IF(VALUE(RIGHT(C251,2))&lt;50,76,96),INDEX(EC!$C$2:$C$677,MATCH(C251,EC,0))))</f>
        <v/>
      </c>
      <c r="F251" s="33" t="str">
        <f t="shared" si="22"/>
        <v/>
      </c>
      <c r="G251" s="38"/>
      <c r="H251" s="38"/>
      <c r="I251" s="38"/>
      <c r="J251" s="36"/>
      <c r="K251" s="29"/>
      <c r="L251" s="29"/>
      <c r="M251" s="31"/>
      <c r="N251" s="40">
        <f t="shared" si="23"/>
        <v>0</v>
      </c>
      <c r="P251" s="4" t="str">
        <f t="shared" si="24"/>
        <v/>
      </c>
      <c r="Q251" s="4" t="str">
        <f t="shared" si="25"/>
        <v/>
      </c>
      <c r="R251" s="4" t="str">
        <f t="shared" si="26"/>
        <v>/</v>
      </c>
      <c r="S251" s="4" t="str">
        <f t="shared" si="27"/>
        <v/>
      </c>
    </row>
    <row r="252" spans="1:19" x14ac:dyDescent="0.35">
      <c r="A252" s="54"/>
      <c r="B252" s="57"/>
      <c r="C252" s="60"/>
      <c r="D252" s="66" t="str">
        <f t="shared" si="21"/>
        <v/>
      </c>
      <c r="E252" s="64" t="str">
        <f>IF(OR(C252="",A252=""),"",IF(A252&lt;'Page de garde'!$G$7,IF(VALUE(RIGHT(C252,2))&lt;50,76,96),INDEX(EC!$C$2:$C$677,MATCH(C252,EC,0))))</f>
        <v/>
      </c>
      <c r="F252" s="33" t="str">
        <f t="shared" si="22"/>
        <v/>
      </c>
      <c r="G252" s="38"/>
      <c r="H252" s="38"/>
      <c r="I252" s="38"/>
      <c r="J252" s="36"/>
      <c r="K252" s="29"/>
      <c r="L252" s="29"/>
      <c r="M252" s="31"/>
      <c r="N252" s="40">
        <f t="shared" si="23"/>
        <v>0</v>
      </c>
      <c r="P252" s="4" t="str">
        <f t="shared" si="24"/>
        <v/>
      </c>
      <c r="Q252" s="4" t="str">
        <f t="shared" si="25"/>
        <v/>
      </c>
      <c r="R252" s="4" t="str">
        <f t="shared" si="26"/>
        <v>/</v>
      </c>
      <c r="S252" s="4" t="str">
        <f t="shared" si="27"/>
        <v/>
      </c>
    </row>
    <row r="253" spans="1:19" x14ac:dyDescent="0.35">
      <c r="A253" s="54"/>
      <c r="B253" s="57"/>
      <c r="C253" s="60"/>
      <c r="D253" s="66" t="str">
        <f t="shared" si="21"/>
        <v/>
      </c>
      <c r="E253" s="64" t="str">
        <f>IF(OR(C253="",A253=""),"",IF(A253&lt;'Page de garde'!$G$7,IF(VALUE(RIGHT(C253,2))&lt;50,76,96),INDEX(EC!$C$2:$C$677,MATCH(C253,EC,0))))</f>
        <v/>
      </c>
      <c r="F253" s="33" t="str">
        <f t="shared" si="22"/>
        <v/>
      </c>
      <c r="G253" s="38"/>
      <c r="H253" s="38"/>
      <c r="I253" s="38"/>
      <c r="J253" s="36"/>
      <c r="K253" s="29"/>
      <c r="L253" s="29"/>
      <c r="M253" s="31"/>
      <c r="N253" s="40">
        <f t="shared" si="23"/>
        <v>0</v>
      </c>
      <c r="P253" s="4" t="str">
        <f t="shared" si="24"/>
        <v/>
      </c>
      <c r="Q253" s="4" t="str">
        <f t="shared" si="25"/>
        <v/>
      </c>
      <c r="R253" s="4" t="str">
        <f t="shared" si="26"/>
        <v>/</v>
      </c>
      <c r="S253" s="4" t="str">
        <f t="shared" si="27"/>
        <v/>
      </c>
    </row>
    <row r="254" spans="1:19" x14ac:dyDescent="0.35">
      <c r="A254" s="54"/>
      <c r="B254" s="57"/>
      <c r="C254" s="60"/>
      <c r="D254" s="66" t="str">
        <f t="shared" si="21"/>
        <v/>
      </c>
      <c r="E254" s="64" t="str">
        <f>IF(OR(C254="",A254=""),"",IF(A254&lt;'Page de garde'!$G$7,IF(VALUE(RIGHT(C254,2))&lt;50,76,96),INDEX(EC!$C$2:$C$677,MATCH(C254,EC,0))))</f>
        <v/>
      </c>
      <c r="F254" s="33" t="str">
        <f t="shared" si="22"/>
        <v/>
      </c>
      <c r="G254" s="38"/>
      <c r="H254" s="38"/>
      <c r="I254" s="38"/>
      <c r="J254" s="36"/>
      <c r="K254" s="29"/>
      <c r="L254" s="29"/>
      <c r="M254" s="31"/>
      <c r="N254" s="40">
        <f t="shared" si="23"/>
        <v>0</v>
      </c>
      <c r="P254" s="4" t="str">
        <f t="shared" si="24"/>
        <v/>
      </c>
      <c r="Q254" s="4" t="str">
        <f t="shared" si="25"/>
        <v/>
      </c>
      <c r="R254" s="4" t="str">
        <f t="shared" si="26"/>
        <v>/</v>
      </c>
      <c r="S254" s="4" t="str">
        <f t="shared" si="27"/>
        <v/>
      </c>
    </row>
    <row r="255" spans="1:19" x14ac:dyDescent="0.35">
      <c r="A255" s="54"/>
      <c r="B255" s="57"/>
      <c r="C255" s="60"/>
      <c r="D255" s="66" t="str">
        <f t="shared" si="21"/>
        <v/>
      </c>
      <c r="E255" s="64" t="str">
        <f>IF(OR(C255="",A255=""),"",IF(A255&lt;'Page de garde'!$G$7,IF(VALUE(RIGHT(C255,2))&lt;50,76,96),INDEX(EC!$C$2:$C$677,MATCH(C255,EC,0))))</f>
        <v/>
      </c>
      <c r="F255" s="33" t="str">
        <f t="shared" si="22"/>
        <v/>
      </c>
      <c r="G255" s="38"/>
      <c r="H255" s="38"/>
      <c r="I255" s="38"/>
      <c r="J255" s="36"/>
      <c r="K255" s="29"/>
      <c r="L255" s="29"/>
      <c r="M255" s="31"/>
      <c r="N255" s="40">
        <f t="shared" si="23"/>
        <v>0</v>
      </c>
      <c r="P255" s="4" t="str">
        <f t="shared" si="24"/>
        <v/>
      </c>
      <c r="Q255" s="4" t="str">
        <f t="shared" si="25"/>
        <v/>
      </c>
      <c r="R255" s="4" t="str">
        <f t="shared" si="26"/>
        <v>/</v>
      </c>
      <c r="S255" s="4" t="str">
        <f t="shared" si="27"/>
        <v/>
      </c>
    </row>
    <row r="256" spans="1:19" x14ac:dyDescent="0.35">
      <c r="A256" s="54"/>
      <c r="B256" s="57"/>
      <c r="C256" s="60"/>
      <c r="D256" s="66" t="str">
        <f t="shared" si="21"/>
        <v/>
      </c>
      <c r="E256" s="64" t="str">
        <f>IF(OR(C256="",A256=""),"",IF(A256&lt;'Page de garde'!$G$7,IF(VALUE(RIGHT(C256,2))&lt;50,76,96),INDEX(EC!$C$2:$C$677,MATCH(C256,EC,0))))</f>
        <v/>
      </c>
      <c r="F256" s="33" t="str">
        <f t="shared" si="22"/>
        <v/>
      </c>
      <c r="G256" s="38"/>
      <c r="H256" s="38"/>
      <c r="I256" s="38"/>
      <c r="J256" s="36"/>
      <c r="K256" s="29"/>
      <c r="L256" s="29"/>
      <c r="M256" s="31"/>
      <c r="N256" s="40">
        <f t="shared" si="23"/>
        <v>0</v>
      </c>
      <c r="P256" s="4" t="str">
        <f t="shared" si="24"/>
        <v/>
      </c>
      <c r="Q256" s="4" t="str">
        <f t="shared" si="25"/>
        <v/>
      </c>
      <c r="R256" s="4" t="str">
        <f t="shared" si="26"/>
        <v>/</v>
      </c>
      <c r="S256" s="4" t="str">
        <f t="shared" si="27"/>
        <v/>
      </c>
    </row>
    <row r="257" spans="1:19" x14ac:dyDescent="0.35">
      <c r="A257" s="54"/>
      <c r="B257" s="57"/>
      <c r="C257" s="60"/>
      <c r="D257" s="66" t="str">
        <f t="shared" si="21"/>
        <v/>
      </c>
      <c r="E257" s="64" t="str">
        <f>IF(OR(C257="",A257=""),"",IF(A257&lt;'Page de garde'!$G$7,IF(VALUE(RIGHT(C257,2))&lt;50,76,96),INDEX(EC!$C$2:$C$677,MATCH(C257,EC,0))))</f>
        <v/>
      </c>
      <c r="F257" s="33" t="str">
        <f t="shared" si="22"/>
        <v/>
      </c>
      <c r="G257" s="38"/>
      <c r="H257" s="38"/>
      <c r="I257" s="38"/>
      <c r="J257" s="36"/>
      <c r="K257" s="29"/>
      <c r="L257" s="29"/>
      <c r="M257" s="31"/>
      <c r="N257" s="40">
        <f t="shared" si="23"/>
        <v>0</v>
      </c>
      <c r="P257" s="4" t="str">
        <f t="shared" si="24"/>
        <v/>
      </c>
      <c r="Q257" s="4" t="str">
        <f t="shared" si="25"/>
        <v/>
      </c>
      <c r="R257" s="4" t="str">
        <f t="shared" si="26"/>
        <v>/</v>
      </c>
      <c r="S257" s="4" t="str">
        <f t="shared" si="27"/>
        <v/>
      </c>
    </row>
    <row r="258" spans="1:19" x14ac:dyDescent="0.35">
      <c r="A258" s="54"/>
      <c r="B258" s="57"/>
      <c r="C258" s="60"/>
      <c r="D258" s="66" t="str">
        <f t="shared" si="21"/>
        <v/>
      </c>
      <c r="E258" s="64" t="str">
        <f>IF(OR(C258="",A258=""),"",IF(A258&lt;'Page de garde'!$G$7,IF(VALUE(RIGHT(C258,2))&lt;50,76,96),INDEX(EC!$C$2:$C$677,MATCH(C258,EC,0))))</f>
        <v/>
      </c>
      <c r="F258" s="33" t="str">
        <f t="shared" si="22"/>
        <v/>
      </c>
      <c r="G258" s="38"/>
      <c r="H258" s="38"/>
      <c r="I258" s="38"/>
      <c r="J258" s="36"/>
      <c r="K258" s="29"/>
      <c r="L258" s="29"/>
      <c r="M258" s="31"/>
      <c r="N258" s="40">
        <f t="shared" si="23"/>
        <v>0</v>
      </c>
      <c r="P258" s="4" t="str">
        <f t="shared" si="24"/>
        <v/>
      </c>
      <c r="Q258" s="4" t="str">
        <f t="shared" si="25"/>
        <v/>
      </c>
      <c r="R258" s="4" t="str">
        <f t="shared" si="26"/>
        <v>/</v>
      </c>
      <c r="S258" s="4" t="str">
        <f t="shared" si="27"/>
        <v/>
      </c>
    </row>
    <row r="259" spans="1:19" x14ac:dyDescent="0.35">
      <c r="A259" s="54"/>
      <c r="B259" s="57"/>
      <c r="C259" s="60"/>
      <c r="D259" s="66" t="str">
        <f t="shared" si="21"/>
        <v/>
      </c>
      <c r="E259" s="64" t="str">
        <f>IF(OR(C259="",A259=""),"",IF(A259&lt;'Page de garde'!$G$7,IF(VALUE(RIGHT(C259,2))&lt;50,76,96),INDEX(EC!$C$2:$C$677,MATCH(C259,EC,0))))</f>
        <v/>
      </c>
      <c r="F259" s="33" t="str">
        <f t="shared" si="22"/>
        <v/>
      </c>
      <c r="G259" s="38"/>
      <c r="H259" s="38"/>
      <c r="I259" s="38"/>
      <c r="J259" s="36"/>
      <c r="K259" s="29"/>
      <c r="L259" s="29"/>
      <c r="M259" s="31"/>
      <c r="N259" s="40">
        <f t="shared" si="23"/>
        <v>0</v>
      </c>
      <c r="P259" s="4" t="str">
        <f t="shared" si="24"/>
        <v/>
      </c>
      <c r="Q259" s="4" t="str">
        <f t="shared" si="25"/>
        <v/>
      </c>
      <c r="R259" s="4" t="str">
        <f t="shared" si="26"/>
        <v>/</v>
      </c>
      <c r="S259" s="4" t="str">
        <f t="shared" si="27"/>
        <v/>
      </c>
    </row>
    <row r="260" spans="1:19" x14ac:dyDescent="0.35">
      <c r="A260" s="54"/>
      <c r="B260" s="57"/>
      <c r="C260" s="60"/>
      <c r="D260" s="66" t="str">
        <f t="shared" si="21"/>
        <v/>
      </c>
      <c r="E260" s="64" t="str">
        <f>IF(OR(C260="",A260=""),"",IF(A260&lt;'Page de garde'!$G$7,IF(VALUE(RIGHT(C260,2))&lt;50,76,96),INDEX(EC!$C$2:$C$677,MATCH(C260,EC,0))))</f>
        <v/>
      </c>
      <c r="F260" s="33" t="str">
        <f t="shared" si="22"/>
        <v/>
      </c>
      <c r="G260" s="38"/>
      <c r="H260" s="38"/>
      <c r="I260" s="38"/>
      <c r="J260" s="36"/>
      <c r="K260" s="29"/>
      <c r="L260" s="29"/>
      <c r="M260" s="31"/>
      <c r="N260" s="40">
        <f t="shared" si="23"/>
        <v>0</v>
      </c>
      <c r="P260" s="4" t="str">
        <f t="shared" si="24"/>
        <v/>
      </c>
      <c r="Q260" s="4" t="str">
        <f t="shared" si="25"/>
        <v/>
      </c>
      <c r="R260" s="4" t="str">
        <f t="shared" si="26"/>
        <v>/</v>
      </c>
      <c r="S260" s="4" t="str">
        <f t="shared" si="27"/>
        <v/>
      </c>
    </row>
    <row r="261" spans="1:19" x14ac:dyDescent="0.35">
      <c r="A261" s="54"/>
      <c r="B261" s="57"/>
      <c r="C261" s="60"/>
      <c r="D261" s="66" t="str">
        <f t="shared" ref="D261:D324" si="28">IF(OR(B261="",C261=""),"",CONCATENATE(B261,"/",LEFT(C261,3),"-",RIGHT(C261,2)))</f>
        <v/>
      </c>
      <c r="E261" s="64" t="str">
        <f>IF(OR(C261="",A261=""),"",IF(A261&lt;'Page de garde'!$G$7,IF(VALUE(RIGHT(C261,2))&lt;50,76,96),INDEX(EC!$C$2:$C$677,MATCH(C261,EC,0))))</f>
        <v/>
      </c>
      <c r="F261" s="33" t="str">
        <f t="shared" ref="F261:F324" si="29">IF(C261="","",INDEX(OmEC,MATCH(C261,EC,0)))</f>
        <v/>
      </c>
      <c r="G261" s="38"/>
      <c r="H261" s="38"/>
      <c r="I261" s="38"/>
      <c r="J261" s="36"/>
      <c r="K261" s="29"/>
      <c r="L261" s="29"/>
      <c r="M261" s="31"/>
      <c r="N261" s="40">
        <f t="shared" ref="N261:N324" si="30">SUM(I261:M261)</f>
        <v>0</v>
      </c>
      <c r="P261" s="4" t="str">
        <f t="shared" ref="P261:P324" si="31">LEFT(C261,3)</f>
        <v/>
      </c>
      <c r="Q261" s="4" t="str">
        <f t="shared" si="25"/>
        <v/>
      </c>
      <c r="R261" s="4" t="str">
        <f t="shared" si="26"/>
        <v>/</v>
      </c>
      <c r="S261" s="4" t="str">
        <f t="shared" si="27"/>
        <v/>
      </c>
    </row>
    <row r="262" spans="1:19" x14ac:dyDescent="0.35">
      <c r="A262" s="54"/>
      <c r="B262" s="57"/>
      <c r="C262" s="60"/>
      <c r="D262" s="66" t="str">
        <f t="shared" si="28"/>
        <v/>
      </c>
      <c r="E262" s="64" t="str">
        <f>IF(OR(C262="",A262=""),"",IF(A262&lt;'Page de garde'!$G$7,IF(VALUE(RIGHT(C262,2))&lt;50,76,96),INDEX(EC!$C$2:$C$677,MATCH(C262,EC,0))))</f>
        <v/>
      </c>
      <c r="F262" s="33" t="str">
        <f t="shared" si="29"/>
        <v/>
      </c>
      <c r="G262" s="38"/>
      <c r="H262" s="38"/>
      <c r="I262" s="38"/>
      <c r="J262" s="36"/>
      <c r="K262" s="29"/>
      <c r="L262" s="29"/>
      <c r="M262" s="31"/>
      <c r="N262" s="40">
        <f t="shared" si="30"/>
        <v>0</v>
      </c>
      <c r="P262" s="4" t="str">
        <f t="shared" si="31"/>
        <v/>
      </c>
      <c r="Q262" s="4" t="str">
        <f t="shared" ref="Q262:Q325" si="32">IF(C262="","",IF(VALUE(RIGHT(C262,2))&lt;50,"G","B"))</f>
        <v/>
      </c>
      <c r="R262" s="4" t="str">
        <f t="shared" ref="R262:R325" si="33">CONCATENATE(D262,"/",A262)</f>
        <v>/</v>
      </c>
      <c r="S262" s="4" t="str">
        <f t="shared" ref="S262:S325" si="34">LEFT(B262,3)</f>
        <v/>
      </c>
    </row>
    <row r="263" spans="1:19" x14ac:dyDescent="0.35">
      <c r="A263" s="54"/>
      <c r="B263" s="57"/>
      <c r="C263" s="60"/>
      <c r="D263" s="66" t="str">
        <f t="shared" si="28"/>
        <v/>
      </c>
      <c r="E263" s="64" t="str">
        <f>IF(OR(C263="",A263=""),"",IF(A263&lt;'Page de garde'!$G$7,IF(VALUE(RIGHT(C263,2))&lt;50,76,96),INDEX(EC!$C$2:$C$677,MATCH(C263,EC,0))))</f>
        <v/>
      </c>
      <c r="F263" s="33" t="str">
        <f t="shared" si="29"/>
        <v/>
      </c>
      <c r="G263" s="38"/>
      <c r="H263" s="38"/>
      <c r="I263" s="38"/>
      <c r="J263" s="36"/>
      <c r="K263" s="29"/>
      <c r="L263" s="29"/>
      <c r="M263" s="31"/>
      <c r="N263" s="40">
        <f t="shared" si="30"/>
        <v>0</v>
      </c>
      <c r="P263" s="4" t="str">
        <f t="shared" si="31"/>
        <v/>
      </c>
      <c r="Q263" s="4" t="str">
        <f t="shared" si="32"/>
        <v/>
      </c>
      <c r="R263" s="4" t="str">
        <f t="shared" si="33"/>
        <v>/</v>
      </c>
      <c r="S263" s="4" t="str">
        <f t="shared" si="34"/>
        <v/>
      </c>
    </row>
    <row r="264" spans="1:19" x14ac:dyDescent="0.35">
      <c r="A264" s="54"/>
      <c r="B264" s="57"/>
      <c r="C264" s="60"/>
      <c r="D264" s="66" t="str">
        <f t="shared" si="28"/>
        <v/>
      </c>
      <c r="E264" s="64" t="str">
        <f>IF(OR(C264="",A264=""),"",IF(A264&lt;'Page de garde'!$G$7,IF(VALUE(RIGHT(C264,2))&lt;50,76,96),INDEX(EC!$C$2:$C$677,MATCH(C264,EC,0))))</f>
        <v/>
      </c>
      <c r="F264" s="33" t="str">
        <f t="shared" si="29"/>
        <v/>
      </c>
      <c r="G264" s="38"/>
      <c r="H264" s="38"/>
      <c r="I264" s="38"/>
      <c r="J264" s="36"/>
      <c r="K264" s="29"/>
      <c r="L264" s="29"/>
      <c r="M264" s="31"/>
      <c r="N264" s="40">
        <f t="shared" si="30"/>
        <v>0</v>
      </c>
      <c r="P264" s="4" t="str">
        <f t="shared" si="31"/>
        <v/>
      </c>
      <c r="Q264" s="4" t="str">
        <f t="shared" si="32"/>
        <v/>
      </c>
      <c r="R264" s="4" t="str">
        <f t="shared" si="33"/>
        <v>/</v>
      </c>
      <c r="S264" s="4" t="str">
        <f t="shared" si="34"/>
        <v/>
      </c>
    </row>
    <row r="265" spans="1:19" x14ac:dyDescent="0.35">
      <c r="A265" s="54"/>
      <c r="B265" s="57"/>
      <c r="C265" s="60"/>
      <c r="D265" s="66" t="str">
        <f t="shared" si="28"/>
        <v/>
      </c>
      <c r="E265" s="64" t="str">
        <f>IF(OR(C265="",A265=""),"",IF(A265&lt;'Page de garde'!$G$7,IF(VALUE(RIGHT(C265,2))&lt;50,76,96),INDEX(EC!$C$2:$C$677,MATCH(C265,EC,0))))</f>
        <v/>
      </c>
      <c r="F265" s="33" t="str">
        <f t="shared" si="29"/>
        <v/>
      </c>
      <c r="G265" s="38"/>
      <c r="H265" s="38"/>
      <c r="I265" s="38"/>
      <c r="J265" s="36"/>
      <c r="K265" s="29"/>
      <c r="L265" s="29"/>
      <c r="M265" s="31"/>
      <c r="N265" s="40">
        <f t="shared" si="30"/>
        <v>0</v>
      </c>
      <c r="P265" s="4" t="str">
        <f t="shared" si="31"/>
        <v/>
      </c>
      <c r="Q265" s="4" t="str">
        <f t="shared" si="32"/>
        <v/>
      </c>
      <c r="R265" s="4" t="str">
        <f t="shared" si="33"/>
        <v>/</v>
      </c>
      <c r="S265" s="4" t="str">
        <f t="shared" si="34"/>
        <v/>
      </c>
    </row>
    <row r="266" spans="1:19" x14ac:dyDescent="0.35">
      <c r="A266" s="54"/>
      <c r="B266" s="57"/>
      <c r="C266" s="60"/>
      <c r="D266" s="66" t="str">
        <f t="shared" si="28"/>
        <v/>
      </c>
      <c r="E266" s="64" t="str">
        <f>IF(OR(C266="",A266=""),"",IF(A266&lt;'Page de garde'!$G$7,IF(VALUE(RIGHT(C266,2))&lt;50,76,96),INDEX(EC!$C$2:$C$677,MATCH(C266,EC,0))))</f>
        <v/>
      </c>
      <c r="F266" s="33" t="str">
        <f t="shared" si="29"/>
        <v/>
      </c>
      <c r="G266" s="38"/>
      <c r="H266" s="38"/>
      <c r="I266" s="38"/>
      <c r="J266" s="36"/>
      <c r="K266" s="29"/>
      <c r="L266" s="29"/>
      <c r="M266" s="31"/>
      <c r="N266" s="40">
        <f t="shared" si="30"/>
        <v>0</v>
      </c>
      <c r="P266" s="4" t="str">
        <f t="shared" si="31"/>
        <v/>
      </c>
      <c r="Q266" s="4" t="str">
        <f t="shared" si="32"/>
        <v/>
      </c>
      <c r="R266" s="4" t="str">
        <f t="shared" si="33"/>
        <v>/</v>
      </c>
      <c r="S266" s="4" t="str">
        <f t="shared" si="34"/>
        <v/>
      </c>
    </row>
    <row r="267" spans="1:19" x14ac:dyDescent="0.35">
      <c r="A267" s="54"/>
      <c r="B267" s="57"/>
      <c r="C267" s="60"/>
      <c r="D267" s="66" t="str">
        <f t="shared" si="28"/>
        <v/>
      </c>
      <c r="E267" s="64" t="str">
        <f>IF(OR(C267="",A267=""),"",IF(A267&lt;'Page de garde'!$G$7,IF(VALUE(RIGHT(C267,2))&lt;50,76,96),INDEX(EC!$C$2:$C$677,MATCH(C267,EC,0))))</f>
        <v/>
      </c>
      <c r="F267" s="33" t="str">
        <f t="shared" si="29"/>
        <v/>
      </c>
      <c r="G267" s="38"/>
      <c r="H267" s="38"/>
      <c r="I267" s="38"/>
      <c r="J267" s="36"/>
      <c r="K267" s="29"/>
      <c r="L267" s="29"/>
      <c r="M267" s="31"/>
      <c r="N267" s="40">
        <f t="shared" si="30"/>
        <v>0</v>
      </c>
      <c r="P267" s="4" t="str">
        <f t="shared" si="31"/>
        <v/>
      </c>
      <c r="Q267" s="4" t="str">
        <f t="shared" si="32"/>
        <v/>
      </c>
      <c r="R267" s="4" t="str">
        <f t="shared" si="33"/>
        <v>/</v>
      </c>
      <c r="S267" s="4" t="str">
        <f t="shared" si="34"/>
        <v/>
      </c>
    </row>
    <row r="268" spans="1:19" x14ac:dyDescent="0.35">
      <c r="A268" s="54"/>
      <c r="B268" s="57"/>
      <c r="C268" s="60"/>
      <c r="D268" s="66" t="str">
        <f t="shared" si="28"/>
        <v/>
      </c>
      <c r="E268" s="64" t="str">
        <f>IF(OR(C268="",A268=""),"",IF(A268&lt;'Page de garde'!$G$7,IF(VALUE(RIGHT(C268,2))&lt;50,76,96),INDEX(EC!$C$2:$C$677,MATCH(C268,EC,0))))</f>
        <v/>
      </c>
      <c r="F268" s="33" t="str">
        <f t="shared" si="29"/>
        <v/>
      </c>
      <c r="G268" s="38"/>
      <c r="H268" s="38"/>
      <c r="I268" s="38"/>
      <c r="J268" s="36"/>
      <c r="K268" s="29"/>
      <c r="L268" s="29"/>
      <c r="M268" s="31"/>
      <c r="N268" s="40">
        <f t="shared" si="30"/>
        <v>0</v>
      </c>
      <c r="P268" s="4" t="str">
        <f t="shared" si="31"/>
        <v/>
      </c>
      <c r="Q268" s="4" t="str">
        <f t="shared" si="32"/>
        <v/>
      </c>
      <c r="R268" s="4" t="str">
        <f t="shared" si="33"/>
        <v>/</v>
      </c>
      <c r="S268" s="4" t="str">
        <f t="shared" si="34"/>
        <v/>
      </c>
    </row>
    <row r="269" spans="1:19" x14ac:dyDescent="0.35">
      <c r="A269" s="54"/>
      <c r="B269" s="57"/>
      <c r="C269" s="60"/>
      <c r="D269" s="66" t="str">
        <f t="shared" si="28"/>
        <v/>
      </c>
      <c r="E269" s="64" t="str">
        <f>IF(OR(C269="",A269=""),"",IF(A269&lt;'Page de garde'!$G$7,IF(VALUE(RIGHT(C269,2))&lt;50,76,96),INDEX(EC!$C$2:$C$677,MATCH(C269,EC,0))))</f>
        <v/>
      </c>
      <c r="F269" s="33" t="str">
        <f t="shared" si="29"/>
        <v/>
      </c>
      <c r="G269" s="38"/>
      <c r="H269" s="38"/>
      <c r="I269" s="38"/>
      <c r="J269" s="36"/>
      <c r="K269" s="29"/>
      <c r="L269" s="29"/>
      <c r="M269" s="31"/>
      <c r="N269" s="40">
        <f t="shared" si="30"/>
        <v>0</v>
      </c>
      <c r="P269" s="4" t="str">
        <f t="shared" si="31"/>
        <v/>
      </c>
      <c r="Q269" s="4" t="str">
        <f t="shared" si="32"/>
        <v/>
      </c>
      <c r="R269" s="4" t="str">
        <f t="shared" si="33"/>
        <v>/</v>
      </c>
      <c r="S269" s="4" t="str">
        <f t="shared" si="34"/>
        <v/>
      </c>
    </row>
    <row r="270" spans="1:19" x14ac:dyDescent="0.35">
      <c r="A270" s="54"/>
      <c r="B270" s="57"/>
      <c r="C270" s="60"/>
      <c r="D270" s="66" t="str">
        <f t="shared" si="28"/>
        <v/>
      </c>
      <c r="E270" s="64" t="str">
        <f>IF(OR(C270="",A270=""),"",IF(A270&lt;'Page de garde'!$G$7,IF(VALUE(RIGHT(C270,2))&lt;50,76,96),INDEX(EC!$C$2:$C$677,MATCH(C270,EC,0))))</f>
        <v/>
      </c>
      <c r="F270" s="33" t="str">
        <f t="shared" si="29"/>
        <v/>
      </c>
      <c r="G270" s="38"/>
      <c r="H270" s="38"/>
      <c r="I270" s="38"/>
      <c r="J270" s="36"/>
      <c r="K270" s="29"/>
      <c r="L270" s="29"/>
      <c r="M270" s="31"/>
      <c r="N270" s="40">
        <f t="shared" si="30"/>
        <v>0</v>
      </c>
      <c r="P270" s="4" t="str">
        <f t="shared" si="31"/>
        <v/>
      </c>
      <c r="Q270" s="4" t="str">
        <f t="shared" si="32"/>
        <v/>
      </c>
      <c r="R270" s="4" t="str">
        <f t="shared" si="33"/>
        <v>/</v>
      </c>
      <c r="S270" s="4" t="str">
        <f t="shared" si="34"/>
        <v/>
      </c>
    </row>
    <row r="271" spans="1:19" x14ac:dyDescent="0.35">
      <c r="A271" s="54"/>
      <c r="B271" s="57"/>
      <c r="C271" s="60"/>
      <c r="D271" s="66" t="str">
        <f t="shared" si="28"/>
        <v/>
      </c>
      <c r="E271" s="64" t="str">
        <f>IF(OR(C271="",A271=""),"",IF(A271&lt;'Page de garde'!$G$7,IF(VALUE(RIGHT(C271,2))&lt;50,76,96),INDEX(EC!$C$2:$C$677,MATCH(C271,EC,0))))</f>
        <v/>
      </c>
      <c r="F271" s="33" t="str">
        <f t="shared" si="29"/>
        <v/>
      </c>
      <c r="G271" s="38"/>
      <c r="H271" s="38"/>
      <c r="I271" s="38"/>
      <c r="J271" s="36"/>
      <c r="K271" s="29"/>
      <c r="L271" s="29"/>
      <c r="M271" s="31"/>
      <c r="N271" s="40">
        <f t="shared" si="30"/>
        <v>0</v>
      </c>
      <c r="P271" s="4" t="str">
        <f t="shared" si="31"/>
        <v/>
      </c>
      <c r="Q271" s="4" t="str">
        <f t="shared" si="32"/>
        <v/>
      </c>
      <c r="R271" s="4" t="str">
        <f t="shared" si="33"/>
        <v>/</v>
      </c>
      <c r="S271" s="4" t="str">
        <f t="shared" si="34"/>
        <v/>
      </c>
    </row>
    <row r="272" spans="1:19" x14ac:dyDescent="0.35">
      <c r="A272" s="54"/>
      <c r="B272" s="57"/>
      <c r="C272" s="60"/>
      <c r="D272" s="66" t="str">
        <f t="shared" si="28"/>
        <v/>
      </c>
      <c r="E272" s="64" t="str">
        <f>IF(OR(C272="",A272=""),"",IF(A272&lt;'Page de garde'!$G$7,IF(VALUE(RIGHT(C272,2))&lt;50,76,96),INDEX(EC!$C$2:$C$677,MATCH(C272,EC,0))))</f>
        <v/>
      </c>
      <c r="F272" s="33" t="str">
        <f t="shared" si="29"/>
        <v/>
      </c>
      <c r="G272" s="38"/>
      <c r="H272" s="38"/>
      <c r="I272" s="38"/>
      <c r="J272" s="36"/>
      <c r="K272" s="29"/>
      <c r="L272" s="29"/>
      <c r="M272" s="31"/>
      <c r="N272" s="40">
        <f t="shared" si="30"/>
        <v>0</v>
      </c>
      <c r="P272" s="4" t="str">
        <f t="shared" si="31"/>
        <v/>
      </c>
      <c r="Q272" s="4" t="str">
        <f t="shared" si="32"/>
        <v/>
      </c>
      <c r="R272" s="4" t="str">
        <f t="shared" si="33"/>
        <v>/</v>
      </c>
      <c r="S272" s="4" t="str">
        <f t="shared" si="34"/>
        <v/>
      </c>
    </row>
    <row r="273" spans="1:19" x14ac:dyDescent="0.35">
      <c r="A273" s="54"/>
      <c r="B273" s="57"/>
      <c r="C273" s="60"/>
      <c r="D273" s="66" t="str">
        <f t="shared" si="28"/>
        <v/>
      </c>
      <c r="E273" s="64" t="str">
        <f>IF(OR(C273="",A273=""),"",IF(A273&lt;'Page de garde'!$G$7,IF(VALUE(RIGHT(C273,2))&lt;50,76,96),INDEX(EC!$C$2:$C$677,MATCH(C273,EC,0))))</f>
        <v/>
      </c>
      <c r="F273" s="33" t="str">
        <f t="shared" si="29"/>
        <v/>
      </c>
      <c r="G273" s="38"/>
      <c r="H273" s="38"/>
      <c r="I273" s="38"/>
      <c r="J273" s="36"/>
      <c r="K273" s="29"/>
      <c r="L273" s="29"/>
      <c r="M273" s="31"/>
      <c r="N273" s="40">
        <f t="shared" si="30"/>
        <v>0</v>
      </c>
      <c r="P273" s="4" t="str">
        <f t="shared" si="31"/>
        <v/>
      </c>
      <c r="Q273" s="4" t="str">
        <f t="shared" si="32"/>
        <v/>
      </c>
      <c r="R273" s="4" t="str">
        <f t="shared" si="33"/>
        <v>/</v>
      </c>
      <c r="S273" s="4" t="str">
        <f t="shared" si="34"/>
        <v/>
      </c>
    </row>
    <row r="274" spans="1:19" x14ac:dyDescent="0.35">
      <c r="A274" s="54"/>
      <c r="B274" s="57"/>
      <c r="C274" s="60"/>
      <c r="D274" s="66" t="str">
        <f t="shared" si="28"/>
        <v/>
      </c>
      <c r="E274" s="64" t="str">
        <f>IF(OR(C274="",A274=""),"",IF(A274&lt;'Page de garde'!$G$7,IF(VALUE(RIGHT(C274,2))&lt;50,76,96),INDEX(EC!$C$2:$C$677,MATCH(C274,EC,0))))</f>
        <v/>
      </c>
      <c r="F274" s="33" t="str">
        <f t="shared" si="29"/>
        <v/>
      </c>
      <c r="G274" s="38"/>
      <c r="H274" s="38"/>
      <c r="I274" s="38"/>
      <c r="J274" s="36"/>
      <c r="K274" s="29"/>
      <c r="L274" s="29"/>
      <c r="M274" s="31"/>
      <c r="N274" s="40">
        <f t="shared" si="30"/>
        <v>0</v>
      </c>
      <c r="P274" s="4" t="str">
        <f t="shared" si="31"/>
        <v/>
      </c>
      <c r="Q274" s="4" t="str">
        <f t="shared" si="32"/>
        <v/>
      </c>
      <c r="R274" s="4" t="str">
        <f t="shared" si="33"/>
        <v>/</v>
      </c>
      <c r="S274" s="4" t="str">
        <f t="shared" si="34"/>
        <v/>
      </c>
    </row>
    <row r="275" spans="1:19" x14ac:dyDescent="0.35">
      <c r="A275" s="54"/>
      <c r="B275" s="57"/>
      <c r="C275" s="60"/>
      <c r="D275" s="66" t="str">
        <f t="shared" si="28"/>
        <v/>
      </c>
      <c r="E275" s="64" t="str">
        <f>IF(OR(C275="",A275=""),"",IF(A275&lt;'Page de garde'!$G$7,IF(VALUE(RIGHT(C275,2))&lt;50,76,96),INDEX(EC!$C$2:$C$677,MATCH(C275,EC,0))))</f>
        <v/>
      </c>
      <c r="F275" s="33" t="str">
        <f t="shared" si="29"/>
        <v/>
      </c>
      <c r="G275" s="38"/>
      <c r="H275" s="38"/>
      <c r="I275" s="38"/>
      <c r="J275" s="36"/>
      <c r="K275" s="29"/>
      <c r="L275" s="29"/>
      <c r="M275" s="31"/>
      <c r="N275" s="40">
        <f t="shared" si="30"/>
        <v>0</v>
      </c>
      <c r="P275" s="4" t="str">
        <f t="shared" si="31"/>
        <v/>
      </c>
      <c r="Q275" s="4" t="str">
        <f t="shared" si="32"/>
        <v/>
      </c>
      <c r="R275" s="4" t="str">
        <f t="shared" si="33"/>
        <v>/</v>
      </c>
      <c r="S275" s="4" t="str">
        <f t="shared" si="34"/>
        <v/>
      </c>
    </row>
    <row r="276" spans="1:19" x14ac:dyDescent="0.35">
      <c r="A276" s="54"/>
      <c r="B276" s="57"/>
      <c r="C276" s="60"/>
      <c r="D276" s="66" t="str">
        <f t="shared" si="28"/>
        <v/>
      </c>
      <c r="E276" s="64" t="str">
        <f>IF(OR(C276="",A276=""),"",IF(A276&lt;'Page de garde'!$G$7,IF(VALUE(RIGHT(C276,2))&lt;50,76,96),INDEX(EC!$C$2:$C$677,MATCH(C276,EC,0))))</f>
        <v/>
      </c>
      <c r="F276" s="33" t="str">
        <f t="shared" si="29"/>
        <v/>
      </c>
      <c r="G276" s="38"/>
      <c r="H276" s="38"/>
      <c r="I276" s="38"/>
      <c r="J276" s="36"/>
      <c r="K276" s="29"/>
      <c r="L276" s="29"/>
      <c r="M276" s="31"/>
      <c r="N276" s="40">
        <f t="shared" si="30"/>
        <v>0</v>
      </c>
      <c r="P276" s="4" t="str">
        <f t="shared" si="31"/>
        <v/>
      </c>
      <c r="Q276" s="4" t="str">
        <f t="shared" si="32"/>
        <v/>
      </c>
      <c r="R276" s="4" t="str">
        <f t="shared" si="33"/>
        <v>/</v>
      </c>
      <c r="S276" s="4" t="str">
        <f t="shared" si="34"/>
        <v/>
      </c>
    </row>
    <row r="277" spans="1:19" x14ac:dyDescent="0.35">
      <c r="A277" s="54"/>
      <c r="B277" s="57"/>
      <c r="C277" s="60"/>
      <c r="D277" s="66" t="str">
        <f t="shared" si="28"/>
        <v/>
      </c>
      <c r="E277" s="64" t="str">
        <f>IF(OR(C277="",A277=""),"",IF(A277&lt;'Page de garde'!$G$7,IF(VALUE(RIGHT(C277,2))&lt;50,76,96),INDEX(EC!$C$2:$C$677,MATCH(C277,EC,0))))</f>
        <v/>
      </c>
      <c r="F277" s="33" t="str">
        <f t="shared" si="29"/>
        <v/>
      </c>
      <c r="G277" s="38"/>
      <c r="H277" s="38"/>
      <c r="I277" s="38"/>
      <c r="J277" s="36"/>
      <c r="K277" s="29"/>
      <c r="L277" s="29"/>
      <c r="M277" s="31"/>
      <c r="N277" s="40">
        <f t="shared" si="30"/>
        <v>0</v>
      </c>
      <c r="P277" s="4" t="str">
        <f t="shared" si="31"/>
        <v/>
      </c>
      <c r="Q277" s="4" t="str">
        <f t="shared" si="32"/>
        <v/>
      </c>
      <c r="R277" s="4" t="str">
        <f t="shared" si="33"/>
        <v>/</v>
      </c>
      <c r="S277" s="4" t="str">
        <f t="shared" si="34"/>
        <v/>
      </c>
    </row>
    <row r="278" spans="1:19" x14ac:dyDescent="0.35">
      <c r="A278" s="54"/>
      <c r="B278" s="57"/>
      <c r="C278" s="60"/>
      <c r="D278" s="66" t="str">
        <f t="shared" si="28"/>
        <v/>
      </c>
      <c r="E278" s="64" t="str">
        <f>IF(OR(C278="",A278=""),"",IF(A278&lt;'Page de garde'!$G$7,IF(VALUE(RIGHT(C278,2))&lt;50,76,96),INDEX(EC!$C$2:$C$677,MATCH(C278,EC,0))))</f>
        <v/>
      </c>
      <c r="F278" s="33" t="str">
        <f t="shared" si="29"/>
        <v/>
      </c>
      <c r="G278" s="38"/>
      <c r="H278" s="38"/>
      <c r="I278" s="38"/>
      <c r="J278" s="36"/>
      <c r="K278" s="29"/>
      <c r="L278" s="29"/>
      <c r="M278" s="31"/>
      <c r="N278" s="40">
        <f t="shared" si="30"/>
        <v>0</v>
      </c>
      <c r="P278" s="4" t="str">
        <f t="shared" si="31"/>
        <v/>
      </c>
      <c r="Q278" s="4" t="str">
        <f t="shared" si="32"/>
        <v/>
      </c>
      <c r="R278" s="4" t="str">
        <f t="shared" si="33"/>
        <v>/</v>
      </c>
      <c r="S278" s="4" t="str">
        <f t="shared" si="34"/>
        <v/>
      </c>
    </row>
    <row r="279" spans="1:19" x14ac:dyDescent="0.35">
      <c r="A279" s="54"/>
      <c r="B279" s="57"/>
      <c r="C279" s="60"/>
      <c r="D279" s="66" t="str">
        <f t="shared" si="28"/>
        <v/>
      </c>
      <c r="E279" s="64" t="str">
        <f>IF(OR(C279="",A279=""),"",IF(A279&lt;'Page de garde'!$G$7,IF(VALUE(RIGHT(C279,2))&lt;50,76,96),INDEX(EC!$C$2:$C$677,MATCH(C279,EC,0))))</f>
        <v/>
      </c>
      <c r="F279" s="33" t="str">
        <f t="shared" si="29"/>
        <v/>
      </c>
      <c r="G279" s="38"/>
      <c r="H279" s="38"/>
      <c r="I279" s="38"/>
      <c r="J279" s="36"/>
      <c r="K279" s="29"/>
      <c r="L279" s="29"/>
      <c r="M279" s="31"/>
      <c r="N279" s="40">
        <f t="shared" si="30"/>
        <v>0</v>
      </c>
      <c r="P279" s="4" t="str">
        <f t="shared" si="31"/>
        <v/>
      </c>
      <c r="Q279" s="4" t="str">
        <f t="shared" si="32"/>
        <v/>
      </c>
      <c r="R279" s="4" t="str">
        <f t="shared" si="33"/>
        <v>/</v>
      </c>
      <c r="S279" s="4" t="str">
        <f t="shared" si="34"/>
        <v/>
      </c>
    </row>
    <row r="280" spans="1:19" x14ac:dyDescent="0.35">
      <c r="A280" s="54"/>
      <c r="B280" s="57"/>
      <c r="C280" s="60"/>
      <c r="D280" s="66" t="str">
        <f t="shared" si="28"/>
        <v/>
      </c>
      <c r="E280" s="64" t="str">
        <f>IF(OR(C280="",A280=""),"",IF(A280&lt;'Page de garde'!$G$7,IF(VALUE(RIGHT(C280,2))&lt;50,76,96),INDEX(EC!$C$2:$C$677,MATCH(C280,EC,0))))</f>
        <v/>
      </c>
      <c r="F280" s="33" t="str">
        <f t="shared" si="29"/>
        <v/>
      </c>
      <c r="G280" s="38"/>
      <c r="H280" s="38"/>
      <c r="I280" s="38"/>
      <c r="J280" s="36"/>
      <c r="K280" s="29"/>
      <c r="L280" s="29"/>
      <c r="M280" s="31"/>
      <c r="N280" s="40">
        <f t="shared" si="30"/>
        <v>0</v>
      </c>
      <c r="P280" s="4" t="str">
        <f t="shared" si="31"/>
        <v/>
      </c>
      <c r="Q280" s="4" t="str">
        <f t="shared" si="32"/>
        <v/>
      </c>
      <c r="R280" s="4" t="str">
        <f t="shared" si="33"/>
        <v>/</v>
      </c>
      <c r="S280" s="4" t="str">
        <f t="shared" si="34"/>
        <v/>
      </c>
    </row>
    <row r="281" spans="1:19" x14ac:dyDescent="0.35">
      <c r="A281" s="54"/>
      <c r="B281" s="57"/>
      <c r="C281" s="60"/>
      <c r="D281" s="66" t="str">
        <f t="shared" si="28"/>
        <v/>
      </c>
      <c r="E281" s="64" t="str">
        <f>IF(OR(C281="",A281=""),"",IF(A281&lt;'Page de garde'!$G$7,IF(VALUE(RIGHT(C281,2))&lt;50,76,96),INDEX(EC!$C$2:$C$677,MATCH(C281,EC,0))))</f>
        <v/>
      </c>
      <c r="F281" s="33" t="str">
        <f t="shared" si="29"/>
        <v/>
      </c>
      <c r="G281" s="38"/>
      <c r="H281" s="38"/>
      <c r="I281" s="38"/>
      <c r="J281" s="36"/>
      <c r="K281" s="29"/>
      <c r="L281" s="29"/>
      <c r="M281" s="31"/>
      <c r="N281" s="40">
        <f t="shared" si="30"/>
        <v>0</v>
      </c>
      <c r="P281" s="4" t="str">
        <f t="shared" si="31"/>
        <v/>
      </c>
      <c r="Q281" s="4" t="str">
        <f t="shared" si="32"/>
        <v/>
      </c>
      <c r="R281" s="4" t="str">
        <f t="shared" si="33"/>
        <v>/</v>
      </c>
      <c r="S281" s="4" t="str">
        <f t="shared" si="34"/>
        <v/>
      </c>
    </row>
    <row r="282" spans="1:19" x14ac:dyDescent="0.35">
      <c r="A282" s="54"/>
      <c r="B282" s="57"/>
      <c r="C282" s="60"/>
      <c r="D282" s="66" t="str">
        <f t="shared" si="28"/>
        <v/>
      </c>
      <c r="E282" s="64" t="str">
        <f>IF(OR(C282="",A282=""),"",IF(A282&lt;'Page de garde'!$G$7,IF(VALUE(RIGHT(C282,2))&lt;50,76,96),INDEX(EC!$C$2:$C$677,MATCH(C282,EC,0))))</f>
        <v/>
      </c>
      <c r="F282" s="33" t="str">
        <f t="shared" si="29"/>
        <v/>
      </c>
      <c r="G282" s="38"/>
      <c r="H282" s="38"/>
      <c r="I282" s="38"/>
      <c r="J282" s="36"/>
      <c r="K282" s="29"/>
      <c r="L282" s="29"/>
      <c r="M282" s="31"/>
      <c r="N282" s="40">
        <f t="shared" si="30"/>
        <v>0</v>
      </c>
      <c r="P282" s="4" t="str">
        <f t="shared" si="31"/>
        <v/>
      </c>
      <c r="Q282" s="4" t="str">
        <f t="shared" si="32"/>
        <v/>
      </c>
      <c r="R282" s="4" t="str">
        <f t="shared" si="33"/>
        <v>/</v>
      </c>
      <c r="S282" s="4" t="str">
        <f t="shared" si="34"/>
        <v/>
      </c>
    </row>
    <row r="283" spans="1:19" x14ac:dyDescent="0.35">
      <c r="A283" s="54"/>
      <c r="B283" s="57"/>
      <c r="C283" s="60"/>
      <c r="D283" s="66" t="str">
        <f t="shared" si="28"/>
        <v/>
      </c>
      <c r="E283" s="64" t="str">
        <f>IF(OR(C283="",A283=""),"",IF(A283&lt;'Page de garde'!$G$7,IF(VALUE(RIGHT(C283,2))&lt;50,76,96),INDEX(EC!$C$2:$C$677,MATCH(C283,EC,0))))</f>
        <v/>
      </c>
      <c r="F283" s="33" t="str">
        <f t="shared" si="29"/>
        <v/>
      </c>
      <c r="G283" s="38"/>
      <c r="H283" s="38"/>
      <c r="I283" s="38"/>
      <c r="J283" s="36"/>
      <c r="K283" s="29"/>
      <c r="L283" s="29"/>
      <c r="M283" s="31"/>
      <c r="N283" s="40">
        <f t="shared" si="30"/>
        <v>0</v>
      </c>
      <c r="P283" s="4" t="str">
        <f t="shared" si="31"/>
        <v/>
      </c>
      <c r="Q283" s="4" t="str">
        <f t="shared" si="32"/>
        <v/>
      </c>
      <c r="R283" s="4" t="str">
        <f t="shared" si="33"/>
        <v>/</v>
      </c>
      <c r="S283" s="4" t="str">
        <f t="shared" si="34"/>
        <v/>
      </c>
    </row>
    <row r="284" spans="1:19" x14ac:dyDescent="0.35">
      <c r="A284" s="54"/>
      <c r="B284" s="57"/>
      <c r="C284" s="60"/>
      <c r="D284" s="66" t="str">
        <f t="shared" si="28"/>
        <v/>
      </c>
      <c r="E284" s="64" t="str">
        <f>IF(OR(C284="",A284=""),"",IF(A284&lt;'Page de garde'!$G$7,IF(VALUE(RIGHT(C284,2))&lt;50,76,96),INDEX(EC!$C$2:$C$677,MATCH(C284,EC,0))))</f>
        <v/>
      </c>
      <c r="F284" s="33" t="str">
        <f t="shared" si="29"/>
        <v/>
      </c>
      <c r="G284" s="38"/>
      <c r="H284" s="38"/>
      <c r="I284" s="38"/>
      <c r="J284" s="36"/>
      <c r="K284" s="29"/>
      <c r="L284" s="29"/>
      <c r="M284" s="31"/>
      <c r="N284" s="40">
        <f t="shared" si="30"/>
        <v>0</v>
      </c>
      <c r="P284" s="4" t="str">
        <f t="shared" si="31"/>
        <v/>
      </c>
      <c r="Q284" s="4" t="str">
        <f t="shared" si="32"/>
        <v/>
      </c>
      <c r="R284" s="4" t="str">
        <f t="shared" si="33"/>
        <v>/</v>
      </c>
      <c r="S284" s="4" t="str">
        <f t="shared" si="34"/>
        <v/>
      </c>
    </row>
    <row r="285" spans="1:19" x14ac:dyDescent="0.35">
      <c r="A285" s="54"/>
      <c r="B285" s="57"/>
      <c r="C285" s="60"/>
      <c r="D285" s="66" t="str">
        <f t="shared" si="28"/>
        <v/>
      </c>
      <c r="E285" s="64" t="str">
        <f>IF(OR(C285="",A285=""),"",IF(A285&lt;'Page de garde'!$G$7,IF(VALUE(RIGHT(C285,2))&lt;50,76,96),INDEX(EC!$C$2:$C$677,MATCH(C285,EC,0))))</f>
        <v/>
      </c>
      <c r="F285" s="33" t="str">
        <f t="shared" si="29"/>
        <v/>
      </c>
      <c r="G285" s="38"/>
      <c r="H285" s="38"/>
      <c r="I285" s="38"/>
      <c r="J285" s="36"/>
      <c r="K285" s="29"/>
      <c r="L285" s="29"/>
      <c r="M285" s="31"/>
      <c r="N285" s="40">
        <f t="shared" si="30"/>
        <v>0</v>
      </c>
      <c r="P285" s="4" t="str">
        <f t="shared" si="31"/>
        <v/>
      </c>
      <c r="Q285" s="4" t="str">
        <f t="shared" si="32"/>
        <v/>
      </c>
      <c r="R285" s="4" t="str">
        <f t="shared" si="33"/>
        <v>/</v>
      </c>
      <c r="S285" s="4" t="str">
        <f t="shared" si="34"/>
        <v/>
      </c>
    </row>
    <row r="286" spans="1:19" x14ac:dyDescent="0.35">
      <c r="A286" s="54"/>
      <c r="B286" s="57"/>
      <c r="C286" s="60"/>
      <c r="D286" s="66" t="str">
        <f t="shared" si="28"/>
        <v/>
      </c>
      <c r="E286" s="64" t="str">
        <f>IF(OR(C286="",A286=""),"",IF(A286&lt;'Page de garde'!$G$7,IF(VALUE(RIGHT(C286,2))&lt;50,76,96),INDEX(EC!$C$2:$C$677,MATCH(C286,EC,0))))</f>
        <v/>
      </c>
      <c r="F286" s="33" t="str">
        <f t="shared" si="29"/>
        <v/>
      </c>
      <c r="G286" s="38"/>
      <c r="H286" s="38"/>
      <c r="I286" s="38"/>
      <c r="J286" s="36"/>
      <c r="K286" s="29"/>
      <c r="L286" s="29"/>
      <c r="M286" s="31"/>
      <c r="N286" s="40">
        <f t="shared" si="30"/>
        <v>0</v>
      </c>
      <c r="P286" s="4" t="str">
        <f t="shared" si="31"/>
        <v/>
      </c>
      <c r="Q286" s="4" t="str">
        <f t="shared" si="32"/>
        <v/>
      </c>
      <c r="R286" s="4" t="str">
        <f t="shared" si="33"/>
        <v>/</v>
      </c>
      <c r="S286" s="4" t="str">
        <f t="shared" si="34"/>
        <v/>
      </c>
    </row>
    <row r="287" spans="1:19" x14ac:dyDescent="0.35">
      <c r="A287" s="54"/>
      <c r="B287" s="57"/>
      <c r="C287" s="60"/>
      <c r="D287" s="66" t="str">
        <f t="shared" si="28"/>
        <v/>
      </c>
      <c r="E287" s="64" t="str">
        <f>IF(OR(C287="",A287=""),"",IF(A287&lt;'Page de garde'!$G$7,IF(VALUE(RIGHT(C287,2))&lt;50,76,96),INDEX(EC!$C$2:$C$677,MATCH(C287,EC,0))))</f>
        <v/>
      </c>
      <c r="F287" s="33" t="str">
        <f t="shared" si="29"/>
        <v/>
      </c>
      <c r="G287" s="38"/>
      <c r="H287" s="38"/>
      <c r="I287" s="38"/>
      <c r="J287" s="36"/>
      <c r="K287" s="29"/>
      <c r="L287" s="29"/>
      <c r="M287" s="31"/>
      <c r="N287" s="40">
        <f t="shared" si="30"/>
        <v>0</v>
      </c>
      <c r="P287" s="4" t="str">
        <f t="shared" si="31"/>
        <v/>
      </c>
      <c r="Q287" s="4" t="str">
        <f t="shared" si="32"/>
        <v/>
      </c>
      <c r="R287" s="4" t="str">
        <f t="shared" si="33"/>
        <v>/</v>
      </c>
      <c r="S287" s="4" t="str">
        <f t="shared" si="34"/>
        <v/>
      </c>
    </row>
    <row r="288" spans="1:19" x14ac:dyDescent="0.35">
      <c r="A288" s="54"/>
      <c r="B288" s="57"/>
      <c r="C288" s="60"/>
      <c r="D288" s="66" t="str">
        <f t="shared" si="28"/>
        <v/>
      </c>
      <c r="E288" s="64" t="str">
        <f>IF(OR(C288="",A288=""),"",IF(A288&lt;'Page de garde'!$G$7,IF(VALUE(RIGHT(C288,2))&lt;50,76,96),INDEX(EC!$C$2:$C$677,MATCH(C288,EC,0))))</f>
        <v/>
      </c>
      <c r="F288" s="33" t="str">
        <f t="shared" si="29"/>
        <v/>
      </c>
      <c r="G288" s="38"/>
      <c r="H288" s="38"/>
      <c r="I288" s="38"/>
      <c r="J288" s="36"/>
      <c r="K288" s="29"/>
      <c r="L288" s="29"/>
      <c r="M288" s="31"/>
      <c r="N288" s="40">
        <f t="shared" si="30"/>
        <v>0</v>
      </c>
      <c r="P288" s="4" t="str">
        <f t="shared" si="31"/>
        <v/>
      </c>
      <c r="Q288" s="4" t="str">
        <f t="shared" si="32"/>
        <v/>
      </c>
      <c r="R288" s="4" t="str">
        <f t="shared" si="33"/>
        <v>/</v>
      </c>
      <c r="S288" s="4" t="str">
        <f t="shared" si="34"/>
        <v/>
      </c>
    </row>
    <row r="289" spans="1:19" x14ac:dyDescent="0.35">
      <c r="A289" s="54"/>
      <c r="B289" s="57"/>
      <c r="C289" s="60"/>
      <c r="D289" s="66" t="str">
        <f t="shared" si="28"/>
        <v/>
      </c>
      <c r="E289" s="64" t="str">
        <f>IF(OR(C289="",A289=""),"",IF(A289&lt;'Page de garde'!$G$7,IF(VALUE(RIGHT(C289,2))&lt;50,76,96),INDEX(EC!$C$2:$C$677,MATCH(C289,EC,0))))</f>
        <v/>
      </c>
      <c r="F289" s="33" t="str">
        <f t="shared" si="29"/>
        <v/>
      </c>
      <c r="G289" s="38"/>
      <c r="H289" s="38"/>
      <c r="I289" s="38"/>
      <c r="J289" s="36"/>
      <c r="K289" s="29"/>
      <c r="L289" s="29"/>
      <c r="M289" s="31"/>
      <c r="N289" s="40">
        <f t="shared" si="30"/>
        <v>0</v>
      </c>
      <c r="P289" s="4" t="str">
        <f t="shared" si="31"/>
        <v/>
      </c>
      <c r="Q289" s="4" t="str">
        <f t="shared" si="32"/>
        <v/>
      </c>
      <c r="R289" s="4" t="str">
        <f t="shared" si="33"/>
        <v>/</v>
      </c>
      <c r="S289" s="4" t="str">
        <f t="shared" si="34"/>
        <v/>
      </c>
    </row>
    <row r="290" spans="1:19" x14ac:dyDescent="0.35">
      <c r="A290" s="54"/>
      <c r="B290" s="57"/>
      <c r="C290" s="60"/>
      <c r="D290" s="66" t="str">
        <f t="shared" si="28"/>
        <v/>
      </c>
      <c r="E290" s="64" t="str">
        <f>IF(OR(C290="",A290=""),"",IF(A290&lt;'Page de garde'!$G$7,IF(VALUE(RIGHT(C290,2))&lt;50,76,96),INDEX(EC!$C$2:$C$677,MATCH(C290,EC,0))))</f>
        <v/>
      </c>
      <c r="F290" s="33" t="str">
        <f t="shared" si="29"/>
        <v/>
      </c>
      <c r="G290" s="38"/>
      <c r="H290" s="38"/>
      <c r="I290" s="38"/>
      <c r="J290" s="36"/>
      <c r="K290" s="29"/>
      <c r="L290" s="29"/>
      <c r="M290" s="31"/>
      <c r="N290" s="40">
        <f t="shared" si="30"/>
        <v>0</v>
      </c>
      <c r="P290" s="4" t="str">
        <f t="shared" si="31"/>
        <v/>
      </c>
      <c r="Q290" s="4" t="str">
        <f t="shared" si="32"/>
        <v/>
      </c>
      <c r="R290" s="4" t="str">
        <f t="shared" si="33"/>
        <v>/</v>
      </c>
      <c r="S290" s="4" t="str">
        <f t="shared" si="34"/>
        <v/>
      </c>
    </row>
    <row r="291" spans="1:19" x14ac:dyDescent="0.35">
      <c r="A291" s="54"/>
      <c r="B291" s="57"/>
      <c r="C291" s="60"/>
      <c r="D291" s="66" t="str">
        <f t="shared" si="28"/>
        <v/>
      </c>
      <c r="E291" s="64" t="str">
        <f>IF(OR(C291="",A291=""),"",IF(A291&lt;'Page de garde'!$G$7,IF(VALUE(RIGHT(C291,2))&lt;50,76,96),INDEX(EC!$C$2:$C$677,MATCH(C291,EC,0))))</f>
        <v/>
      </c>
      <c r="F291" s="33" t="str">
        <f t="shared" si="29"/>
        <v/>
      </c>
      <c r="G291" s="38"/>
      <c r="H291" s="38"/>
      <c r="I291" s="38"/>
      <c r="J291" s="36"/>
      <c r="K291" s="29"/>
      <c r="L291" s="29"/>
      <c r="M291" s="31"/>
      <c r="N291" s="40">
        <f t="shared" si="30"/>
        <v>0</v>
      </c>
      <c r="P291" s="4" t="str">
        <f t="shared" si="31"/>
        <v/>
      </c>
      <c r="Q291" s="4" t="str">
        <f t="shared" si="32"/>
        <v/>
      </c>
      <c r="R291" s="4" t="str">
        <f t="shared" si="33"/>
        <v>/</v>
      </c>
      <c r="S291" s="4" t="str">
        <f t="shared" si="34"/>
        <v/>
      </c>
    </row>
    <row r="292" spans="1:19" x14ac:dyDescent="0.35">
      <c r="A292" s="54"/>
      <c r="B292" s="57"/>
      <c r="C292" s="60"/>
      <c r="D292" s="66" t="str">
        <f t="shared" si="28"/>
        <v/>
      </c>
      <c r="E292" s="64" t="str">
        <f>IF(OR(C292="",A292=""),"",IF(A292&lt;'Page de garde'!$G$7,IF(VALUE(RIGHT(C292,2))&lt;50,76,96),INDEX(EC!$C$2:$C$677,MATCH(C292,EC,0))))</f>
        <v/>
      </c>
      <c r="F292" s="33" t="str">
        <f t="shared" si="29"/>
        <v/>
      </c>
      <c r="G292" s="38"/>
      <c r="H292" s="38"/>
      <c r="I292" s="38"/>
      <c r="J292" s="36"/>
      <c r="K292" s="29"/>
      <c r="L292" s="29"/>
      <c r="M292" s="31"/>
      <c r="N292" s="40">
        <f t="shared" si="30"/>
        <v>0</v>
      </c>
      <c r="P292" s="4" t="str">
        <f t="shared" si="31"/>
        <v/>
      </c>
      <c r="Q292" s="4" t="str">
        <f t="shared" si="32"/>
        <v/>
      </c>
      <c r="R292" s="4" t="str">
        <f t="shared" si="33"/>
        <v>/</v>
      </c>
      <c r="S292" s="4" t="str">
        <f t="shared" si="34"/>
        <v/>
      </c>
    </row>
    <row r="293" spans="1:19" x14ac:dyDescent="0.35">
      <c r="A293" s="54"/>
      <c r="B293" s="57"/>
      <c r="C293" s="60"/>
      <c r="D293" s="66" t="str">
        <f t="shared" si="28"/>
        <v/>
      </c>
      <c r="E293" s="64" t="str">
        <f>IF(OR(C293="",A293=""),"",IF(A293&lt;'Page de garde'!$G$7,IF(VALUE(RIGHT(C293,2))&lt;50,76,96),INDEX(EC!$C$2:$C$677,MATCH(C293,EC,0))))</f>
        <v/>
      </c>
      <c r="F293" s="33" t="str">
        <f t="shared" si="29"/>
        <v/>
      </c>
      <c r="G293" s="38"/>
      <c r="H293" s="38"/>
      <c r="I293" s="38"/>
      <c r="J293" s="36"/>
      <c r="K293" s="29"/>
      <c r="L293" s="29"/>
      <c r="M293" s="31"/>
      <c r="N293" s="40">
        <f t="shared" si="30"/>
        <v>0</v>
      </c>
      <c r="P293" s="4" t="str">
        <f t="shared" si="31"/>
        <v/>
      </c>
      <c r="Q293" s="4" t="str">
        <f t="shared" si="32"/>
        <v/>
      </c>
      <c r="R293" s="4" t="str">
        <f t="shared" si="33"/>
        <v>/</v>
      </c>
      <c r="S293" s="4" t="str">
        <f t="shared" si="34"/>
        <v/>
      </c>
    </row>
    <row r="294" spans="1:19" x14ac:dyDescent="0.35">
      <c r="A294" s="54"/>
      <c r="B294" s="57"/>
      <c r="C294" s="60"/>
      <c r="D294" s="66" t="str">
        <f t="shared" si="28"/>
        <v/>
      </c>
      <c r="E294" s="64" t="str">
        <f>IF(OR(C294="",A294=""),"",IF(A294&lt;'Page de garde'!$G$7,IF(VALUE(RIGHT(C294,2))&lt;50,76,96),INDEX(EC!$C$2:$C$677,MATCH(C294,EC,0))))</f>
        <v/>
      </c>
      <c r="F294" s="33" t="str">
        <f t="shared" si="29"/>
        <v/>
      </c>
      <c r="G294" s="38"/>
      <c r="H294" s="38"/>
      <c r="I294" s="38"/>
      <c r="J294" s="36"/>
      <c r="K294" s="29"/>
      <c r="L294" s="29"/>
      <c r="M294" s="31"/>
      <c r="N294" s="40">
        <f t="shared" si="30"/>
        <v>0</v>
      </c>
      <c r="P294" s="4" t="str">
        <f t="shared" si="31"/>
        <v/>
      </c>
      <c r="Q294" s="4" t="str">
        <f t="shared" si="32"/>
        <v/>
      </c>
      <c r="R294" s="4" t="str">
        <f t="shared" si="33"/>
        <v>/</v>
      </c>
      <c r="S294" s="4" t="str">
        <f t="shared" si="34"/>
        <v/>
      </c>
    </row>
    <row r="295" spans="1:19" x14ac:dyDescent="0.35">
      <c r="A295" s="54"/>
      <c r="B295" s="57"/>
      <c r="C295" s="60"/>
      <c r="D295" s="66" t="str">
        <f t="shared" si="28"/>
        <v/>
      </c>
      <c r="E295" s="64" t="str">
        <f>IF(OR(C295="",A295=""),"",IF(A295&lt;'Page de garde'!$G$7,IF(VALUE(RIGHT(C295,2))&lt;50,76,96),INDEX(EC!$C$2:$C$677,MATCH(C295,EC,0))))</f>
        <v/>
      </c>
      <c r="F295" s="33" t="str">
        <f t="shared" si="29"/>
        <v/>
      </c>
      <c r="G295" s="38"/>
      <c r="H295" s="38"/>
      <c r="I295" s="38"/>
      <c r="J295" s="36"/>
      <c r="K295" s="29"/>
      <c r="L295" s="29"/>
      <c r="M295" s="31"/>
      <c r="N295" s="40">
        <f t="shared" si="30"/>
        <v>0</v>
      </c>
      <c r="P295" s="4" t="str">
        <f t="shared" si="31"/>
        <v/>
      </c>
      <c r="Q295" s="4" t="str">
        <f t="shared" si="32"/>
        <v/>
      </c>
      <c r="R295" s="4" t="str">
        <f t="shared" si="33"/>
        <v>/</v>
      </c>
      <c r="S295" s="4" t="str">
        <f t="shared" si="34"/>
        <v/>
      </c>
    </row>
    <row r="296" spans="1:19" x14ac:dyDescent="0.35">
      <c r="A296" s="54"/>
      <c r="B296" s="57"/>
      <c r="C296" s="60"/>
      <c r="D296" s="66" t="str">
        <f t="shared" si="28"/>
        <v/>
      </c>
      <c r="E296" s="64" t="str">
        <f>IF(OR(C296="",A296=""),"",IF(A296&lt;'Page de garde'!$G$7,IF(VALUE(RIGHT(C296,2))&lt;50,76,96),INDEX(EC!$C$2:$C$677,MATCH(C296,EC,0))))</f>
        <v/>
      </c>
      <c r="F296" s="33" t="str">
        <f t="shared" si="29"/>
        <v/>
      </c>
      <c r="G296" s="38"/>
      <c r="H296" s="38"/>
      <c r="I296" s="38"/>
      <c r="J296" s="36"/>
      <c r="K296" s="29"/>
      <c r="L296" s="29"/>
      <c r="M296" s="31"/>
      <c r="N296" s="40">
        <f t="shared" si="30"/>
        <v>0</v>
      </c>
      <c r="P296" s="4" t="str">
        <f t="shared" si="31"/>
        <v/>
      </c>
      <c r="Q296" s="4" t="str">
        <f t="shared" si="32"/>
        <v/>
      </c>
      <c r="R296" s="4" t="str">
        <f t="shared" si="33"/>
        <v>/</v>
      </c>
      <c r="S296" s="4" t="str">
        <f t="shared" si="34"/>
        <v/>
      </c>
    </row>
    <row r="297" spans="1:19" x14ac:dyDescent="0.35">
      <c r="A297" s="54"/>
      <c r="B297" s="57"/>
      <c r="C297" s="60"/>
      <c r="D297" s="66" t="str">
        <f t="shared" si="28"/>
        <v/>
      </c>
      <c r="E297" s="64" t="str">
        <f>IF(OR(C297="",A297=""),"",IF(A297&lt;'Page de garde'!$G$7,IF(VALUE(RIGHT(C297,2))&lt;50,76,96),INDEX(EC!$C$2:$C$677,MATCH(C297,EC,0))))</f>
        <v/>
      </c>
      <c r="F297" s="33" t="str">
        <f t="shared" si="29"/>
        <v/>
      </c>
      <c r="G297" s="38"/>
      <c r="H297" s="38"/>
      <c r="I297" s="38"/>
      <c r="J297" s="36"/>
      <c r="K297" s="29"/>
      <c r="L297" s="29"/>
      <c r="M297" s="31"/>
      <c r="N297" s="40">
        <f t="shared" si="30"/>
        <v>0</v>
      </c>
      <c r="P297" s="4" t="str">
        <f t="shared" si="31"/>
        <v/>
      </c>
      <c r="Q297" s="4" t="str">
        <f t="shared" si="32"/>
        <v/>
      </c>
      <c r="R297" s="4" t="str">
        <f t="shared" si="33"/>
        <v>/</v>
      </c>
      <c r="S297" s="4" t="str">
        <f t="shared" si="34"/>
        <v/>
      </c>
    </row>
    <row r="298" spans="1:19" x14ac:dyDescent="0.35">
      <c r="A298" s="54"/>
      <c r="B298" s="57"/>
      <c r="C298" s="60"/>
      <c r="D298" s="66" t="str">
        <f t="shared" si="28"/>
        <v/>
      </c>
      <c r="E298" s="64" t="str">
        <f>IF(OR(C298="",A298=""),"",IF(A298&lt;'Page de garde'!$G$7,IF(VALUE(RIGHT(C298,2))&lt;50,76,96),INDEX(EC!$C$2:$C$677,MATCH(C298,EC,0))))</f>
        <v/>
      </c>
      <c r="F298" s="33" t="str">
        <f t="shared" si="29"/>
        <v/>
      </c>
      <c r="G298" s="38"/>
      <c r="H298" s="38"/>
      <c r="I298" s="38"/>
      <c r="J298" s="36"/>
      <c r="K298" s="29"/>
      <c r="L298" s="29"/>
      <c r="M298" s="31"/>
      <c r="N298" s="40">
        <f t="shared" si="30"/>
        <v>0</v>
      </c>
      <c r="P298" s="4" t="str">
        <f t="shared" si="31"/>
        <v/>
      </c>
      <c r="Q298" s="4" t="str">
        <f t="shared" si="32"/>
        <v/>
      </c>
      <c r="R298" s="4" t="str">
        <f t="shared" si="33"/>
        <v>/</v>
      </c>
      <c r="S298" s="4" t="str">
        <f t="shared" si="34"/>
        <v/>
      </c>
    </row>
    <row r="299" spans="1:19" x14ac:dyDescent="0.35">
      <c r="A299" s="54"/>
      <c r="B299" s="57"/>
      <c r="C299" s="60"/>
      <c r="D299" s="66" t="str">
        <f t="shared" si="28"/>
        <v/>
      </c>
      <c r="E299" s="64" t="str">
        <f>IF(OR(C299="",A299=""),"",IF(A299&lt;'Page de garde'!$G$7,IF(VALUE(RIGHT(C299,2))&lt;50,76,96),INDEX(EC!$C$2:$C$677,MATCH(C299,EC,0))))</f>
        <v/>
      </c>
      <c r="F299" s="33" t="str">
        <f t="shared" si="29"/>
        <v/>
      </c>
      <c r="G299" s="38"/>
      <c r="H299" s="38"/>
      <c r="I299" s="38"/>
      <c r="J299" s="36"/>
      <c r="K299" s="29"/>
      <c r="L299" s="29"/>
      <c r="M299" s="31"/>
      <c r="N299" s="40">
        <f t="shared" si="30"/>
        <v>0</v>
      </c>
      <c r="P299" s="4" t="str">
        <f t="shared" si="31"/>
        <v/>
      </c>
      <c r="Q299" s="4" t="str">
        <f t="shared" si="32"/>
        <v/>
      </c>
      <c r="R299" s="4" t="str">
        <f t="shared" si="33"/>
        <v>/</v>
      </c>
      <c r="S299" s="4" t="str">
        <f t="shared" si="34"/>
        <v/>
      </c>
    </row>
    <row r="300" spans="1:19" x14ac:dyDescent="0.35">
      <c r="A300" s="54"/>
      <c r="B300" s="57"/>
      <c r="C300" s="60"/>
      <c r="D300" s="66" t="str">
        <f t="shared" si="28"/>
        <v/>
      </c>
      <c r="E300" s="64" t="str">
        <f>IF(OR(C300="",A300=""),"",IF(A300&lt;'Page de garde'!$G$7,IF(VALUE(RIGHT(C300,2))&lt;50,76,96),INDEX(EC!$C$2:$C$677,MATCH(C300,EC,0))))</f>
        <v/>
      </c>
      <c r="F300" s="33" t="str">
        <f t="shared" si="29"/>
        <v/>
      </c>
      <c r="G300" s="38"/>
      <c r="H300" s="38"/>
      <c r="I300" s="38"/>
      <c r="J300" s="36"/>
      <c r="K300" s="29"/>
      <c r="L300" s="29"/>
      <c r="M300" s="31"/>
      <c r="N300" s="40">
        <f t="shared" si="30"/>
        <v>0</v>
      </c>
      <c r="P300" s="4" t="str">
        <f t="shared" si="31"/>
        <v/>
      </c>
      <c r="Q300" s="4" t="str">
        <f t="shared" si="32"/>
        <v/>
      </c>
      <c r="R300" s="4" t="str">
        <f t="shared" si="33"/>
        <v>/</v>
      </c>
      <c r="S300" s="4" t="str">
        <f t="shared" si="34"/>
        <v/>
      </c>
    </row>
    <row r="301" spans="1:19" x14ac:dyDescent="0.35">
      <c r="A301" s="54"/>
      <c r="B301" s="57"/>
      <c r="C301" s="60"/>
      <c r="D301" s="66" t="str">
        <f t="shared" si="28"/>
        <v/>
      </c>
      <c r="E301" s="64" t="str">
        <f>IF(OR(C301="",A301=""),"",IF(A301&lt;'Page de garde'!$G$7,IF(VALUE(RIGHT(C301,2))&lt;50,76,96),INDEX(EC!$C$2:$C$677,MATCH(C301,EC,0))))</f>
        <v/>
      </c>
      <c r="F301" s="33" t="str">
        <f t="shared" si="29"/>
        <v/>
      </c>
      <c r="G301" s="38"/>
      <c r="H301" s="38"/>
      <c r="I301" s="38"/>
      <c r="J301" s="36"/>
      <c r="K301" s="29"/>
      <c r="L301" s="29"/>
      <c r="M301" s="31"/>
      <c r="N301" s="40">
        <f t="shared" si="30"/>
        <v>0</v>
      </c>
      <c r="P301" s="4" t="str">
        <f t="shared" si="31"/>
        <v/>
      </c>
      <c r="Q301" s="4" t="str">
        <f t="shared" si="32"/>
        <v/>
      </c>
      <c r="R301" s="4" t="str">
        <f t="shared" si="33"/>
        <v>/</v>
      </c>
      <c r="S301" s="4" t="str">
        <f t="shared" si="34"/>
        <v/>
      </c>
    </row>
    <row r="302" spans="1:19" x14ac:dyDescent="0.35">
      <c r="A302" s="54"/>
      <c r="B302" s="57"/>
      <c r="C302" s="60"/>
      <c r="D302" s="66" t="str">
        <f t="shared" si="28"/>
        <v/>
      </c>
      <c r="E302" s="64" t="str">
        <f>IF(OR(C302="",A302=""),"",IF(A302&lt;'Page de garde'!$G$7,IF(VALUE(RIGHT(C302,2))&lt;50,76,96),INDEX(EC!$C$2:$C$677,MATCH(C302,EC,0))))</f>
        <v/>
      </c>
      <c r="F302" s="33" t="str">
        <f t="shared" si="29"/>
        <v/>
      </c>
      <c r="G302" s="38"/>
      <c r="H302" s="38"/>
      <c r="I302" s="38"/>
      <c r="J302" s="36"/>
      <c r="K302" s="29"/>
      <c r="L302" s="29"/>
      <c r="M302" s="31"/>
      <c r="N302" s="40">
        <f t="shared" si="30"/>
        <v>0</v>
      </c>
      <c r="P302" s="4" t="str">
        <f t="shared" si="31"/>
        <v/>
      </c>
      <c r="Q302" s="4" t="str">
        <f t="shared" si="32"/>
        <v/>
      </c>
      <c r="R302" s="4" t="str">
        <f t="shared" si="33"/>
        <v>/</v>
      </c>
      <c r="S302" s="4" t="str">
        <f t="shared" si="34"/>
        <v/>
      </c>
    </row>
    <row r="303" spans="1:19" x14ac:dyDescent="0.35">
      <c r="A303" s="54"/>
      <c r="B303" s="57"/>
      <c r="C303" s="60"/>
      <c r="D303" s="66" t="str">
        <f t="shared" si="28"/>
        <v/>
      </c>
      <c r="E303" s="64" t="str">
        <f>IF(OR(C303="",A303=""),"",IF(A303&lt;'Page de garde'!$G$7,IF(VALUE(RIGHT(C303,2))&lt;50,76,96),INDEX(EC!$C$2:$C$677,MATCH(C303,EC,0))))</f>
        <v/>
      </c>
      <c r="F303" s="33" t="str">
        <f t="shared" si="29"/>
        <v/>
      </c>
      <c r="G303" s="38"/>
      <c r="H303" s="38"/>
      <c r="I303" s="38"/>
      <c r="J303" s="36"/>
      <c r="K303" s="29"/>
      <c r="L303" s="29"/>
      <c r="M303" s="31"/>
      <c r="N303" s="40">
        <f t="shared" si="30"/>
        <v>0</v>
      </c>
      <c r="P303" s="4" t="str">
        <f t="shared" si="31"/>
        <v/>
      </c>
      <c r="Q303" s="4" t="str">
        <f t="shared" si="32"/>
        <v/>
      </c>
      <c r="R303" s="4" t="str">
        <f t="shared" si="33"/>
        <v>/</v>
      </c>
      <c r="S303" s="4" t="str">
        <f t="shared" si="34"/>
        <v/>
      </c>
    </row>
    <row r="304" spans="1:19" x14ac:dyDescent="0.35">
      <c r="A304" s="54"/>
      <c r="B304" s="57"/>
      <c r="C304" s="60"/>
      <c r="D304" s="66" t="str">
        <f t="shared" si="28"/>
        <v/>
      </c>
      <c r="E304" s="64" t="str">
        <f>IF(OR(C304="",A304=""),"",IF(A304&lt;'Page de garde'!$G$7,IF(VALUE(RIGHT(C304,2))&lt;50,76,96),INDEX(EC!$C$2:$C$677,MATCH(C304,EC,0))))</f>
        <v/>
      </c>
      <c r="F304" s="33" t="str">
        <f t="shared" si="29"/>
        <v/>
      </c>
      <c r="G304" s="38"/>
      <c r="H304" s="38"/>
      <c r="I304" s="38"/>
      <c r="J304" s="36"/>
      <c r="K304" s="29"/>
      <c r="L304" s="29"/>
      <c r="M304" s="31"/>
      <c r="N304" s="40">
        <f t="shared" si="30"/>
        <v>0</v>
      </c>
      <c r="P304" s="4" t="str">
        <f t="shared" si="31"/>
        <v/>
      </c>
      <c r="Q304" s="4" t="str">
        <f t="shared" si="32"/>
        <v/>
      </c>
      <c r="R304" s="4" t="str">
        <f t="shared" si="33"/>
        <v>/</v>
      </c>
      <c r="S304" s="4" t="str">
        <f t="shared" si="34"/>
        <v/>
      </c>
    </row>
    <row r="305" spans="1:19" x14ac:dyDescent="0.35">
      <c r="A305" s="54"/>
      <c r="B305" s="57"/>
      <c r="C305" s="60"/>
      <c r="D305" s="66" t="str">
        <f t="shared" si="28"/>
        <v/>
      </c>
      <c r="E305" s="64" t="str">
        <f>IF(OR(C305="",A305=""),"",IF(A305&lt;'Page de garde'!$G$7,IF(VALUE(RIGHT(C305,2))&lt;50,76,96),INDEX(EC!$C$2:$C$677,MATCH(C305,EC,0))))</f>
        <v/>
      </c>
      <c r="F305" s="33" t="str">
        <f t="shared" si="29"/>
        <v/>
      </c>
      <c r="G305" s="38"/>
      <c r="H305" s="38"/>
      <c r="I305" s="38"/>
      <c r="J305" s="36"/>
      <c r="K305" s="29"/>
      <c r="L305" s="29"/>
      <c r="M305" s="31"/>
      <c r="N305" s="40">
        <f t="shared" si="30"/>
        <v>0</v>
      </c>
      <c r="P305" s="4" t="str">
        <f t="shared" si="31"/>
        <v/>
      </c>
      <c r="Q305" s="4" t="str">
        <f t="shared" si="32"/>
        <v/>
      </c>
      <c r="R305" s="4" t="str">
        <f t="shared" si="33"/>
        <v>/</v>
      </c>
      <c r="S305" s="4" t="str">
        <f t="shared" si="34"/>
        <v/>
      </c>
    </row>
    <row r="306" spans="1:19" x14ac:dyDescent="0.35">
      <c r="A306" s="54"/>
      <c r="B306" s="57"/>
      <c r="C306" s="60"/>
      <c r="D306" s="66" t="str">
        <f t="shared" si="28"/>
        <v/>
      </c>
      <c r="E306" s="64" t="str">
        <f>IF(OR(C306="",A306=""),"",IF(A306&lt;'Page de garde'!$G$7,IF(VALUE(RIGHT(C306,2))&lt;50,76,96),INDEX(EC!$C$2:$C$677,MATCH(C306,EC,0))))</f>
        <v/>
      </c>
      <c r="F306" s="33" t="str">
        <f t="shared" si="29"/>
        <v/>
      </c>
      <c r="G306" s="38"/>
      <c r="H306" s="38"/>
      <c r="I306" s="38"/>
      <c r="J306" s="36"/>
      <c r="K306" s="29"/>
      <c r="L306" s="29"/>
      <c r="M306" s="31"/>
      <c r="N306" s="40">
        <f t="shared" si="30"/>
        <v>0</v>
      </c>
      <c r="P306" s="4" t="str">
        <f t="shared" si="31"/>
        <v/>
      </c>
      <c r="Q306" s="4" t="str">
        <f t="shared" si="32"/>
        <v/>
      </c>
      <c r="R306" s="4" t="str">
        <f t="shared" si="33"/>
        <v>/</v>
      </c>
      <c r="S306" s="4" t="str">
        <f t="shared" si="34"/>
        <v/>
      </c>
    </row>
    <row r="307" spans="1:19" x14ac:dyDescent="0.35">
      <c r="A307" s="54"/>
      <c r="B307" s="57"/>
      <c r="C307" s="60"/>
      <c r="D307" s="66" t="str">
        <f t="shared" si="28"/>
        <v/>
      </c>
      <c r="E307" s="64" t="str">
        <f>IF(OR(C307="",A307=""),"",IF(A307&lt;'Page de garde'!$G$7,IF(VALUE(RIGHT(C307,2))&lt;50,76,96),INDEX(EC!$C$2:$C$677,MATCH(C307,EC,0))))</f>
        <v/>
      </c>
      <c r="F307" s="33" t="str">
        <f t="shared" si="29"/>
        <v/>
      </c>
      <c r="G307" s="38"/>
      <c r="H307" s="38"/>
      <c r="I307" s="38"/>
      <c r="J307" s="36"/>
      <c r="K307" s="29"/>
      <c r="L307" s="29"/>
      <c r="M307" s="31"/>
      <c r="N307" s="40">
        <f t="shared" si="30"/>
        <v>0</v>
      </c>
      <c r="P307" s="4" t="str">
        <f t="shared" si="31"/>
        <v/>
      </c>
      <c r="Q307" s="4" t="str">
        <f t="shared" si="32"/>
        <v/>
      </c>
      <c r="R307" s="4" t="str">
        <f t="shared" si="33"/>
        <v>/</v>
      </c>
      <c r="S307" s="4" t="str">
        <f t="shared" si="34"/>
        <v/>
      </c>
    </row>
    <row r="308" spans="1:19" x14ac:dyDescent="0.35">
      <c r="A308" s="54"/>
      <c r="B308" s="57"/>
      <c r="C308" s="60"/>
      <c r="D308" s="66" t="str">
        <f t="shared" si="28"/>
        <v/>
      </c>
      <c r="E308" s="64" t="str">
        <f>IF(OR(C308="",A308=""),"",IF(A308&lt;'Page de garde'!$G$7,IF(VALUE(RIGHT(C308,2))&lt;50,76,96),INDEX(EC!$C$2:$C$677,MATCH(C308,EC,0))))</f>
        <v/>
      </c>
      <c r="F308" s="33" t="str">
        <f t="shared" si="29"/>
        <v/>
      </c>
      <c r="G308" s="38"/>
      <c r="H308" s="38"/>
      <c r="I308" s="38"/>
      <c r="J308" s="36"/>
      <c r="K308" s="29"/>
      <c r="L308" s="29"/>
      <c r="M308" s="31"/>
      <c r="N308" s="40">
        <f t="shared" si="30"/>
        <v>0</v>
      </c>
      <c r="P308" s="4" t="str">
        <f t="shared" si="31"/>
        <v/>
      </c>
      <c r="Q308" s="4" t="str">
        <f t="shared" si="32"/>
        <v/>
      </c>
      <c r="R308" s="4" t="str">
        <f t="shared" si="33"/>
        <v>/</v>
      </c>
      <c r="S308" s="4" t="str">
        <f t="shared" si="34"/>
        <v/>
      </c>
    </row>
    <row r="309" spans="1:19" x14ac:dyDescent="0.35">
      <c r="A309" s="54"/>
      <c r="B309" s="57"/>
      <c r="C309" s="60"/>
      <c r="D309" s="66" t="str">
        <f t="shared" si="28"/>
        <v/>
      </c>
      <c r="E309" s="64" t="str">
        <f>IF(OR(C309="",A309=""),"",IF(A309&lt;'Page de garde'!$G$7,IF(VALUE(RIGHT(C309,2))&lt;50,76,96),INDEX(EC!$C$2:$C$677,MATCH(C309,EC,0))))</f>
        <v/>
      </c>
      <c r="F309" s="33" t="str">
        <f t="shared" si="29"/>
        <v/>
      </c>
      <c r="G309" s="38"/>
      <c r="H309" s="38"/>
      <c r="I309" s="38"/>
      <c r="J309" s="36"/>
      <c r="K309" s="29"/>
      <c r="L309" s="29"/>
      <c r="M309" s="31"/>
      <c r="N309" s="40">
        <f t="shared" si="30"/>
        <v>0</v>
      </c>
      <c r="P309" s="4" t="str">
        <f t="shared" si="31"/>
        <v/>
      </c>
      <c r="Q309" s="4" t="str">
        <f t="shared" si="32"/>
        <v/>
      </c>
      <c r="R309" s="4" t="str">
        <f t="shared" si="33"/>
        <v>/</v>
      </c>
      <c r="S309" s="4" t="str">
        <f t="shared" si="34"/>
        <v/>
      </c>
    </row>
    <row r="310" spans="1:19" x14ac:dyDescent="0.35">
      <c r="A310" s="54"/>
      <c r="B310" s="57"/>
      <c r="C310" s="60"/>
      <c r="D310" s="66" t="str">
        <f t="shared" si="28"/>
        <v/>
      </c>
      <c r="E310" s="64" t="str">
        <f>IF(OR(C310="",A310=""),"",IF(A310&lt;'Page de garde'!$G$7,IF(VALUE(RIGHT(C310,2))&lt;50,76,96),INDEX(EC!$C$2:$C$677,MATCH(C310,EC,0))))</f>
        <v/>
      </c>
      <c r="F310" s="33" t="str">
        <f t="shared" si="29"/>
        <v/>
      </c>
      <c r="G310" s="38"/>
      <c r="H310" s="38"/>
      <c r="I310" s="38"/>
      <c r="J310" s="36"/>
      <c r="K310" s="29"/>
      <c r="L310" s="29"/>
      <c r="M310" s="31"/>
      <c r="N310" s="40">
        <f t="shared" si="30"/>
        <v>0</v>
      </c>
      <c r="P310" s="4" t="str">
        <f t="shared" si="31"/>
        <v/>
      </c>
      <c r="Q310" s="4" t="str">
        <f t="shared" si="32"/>
        <v/>
      </c>
      <c r="R310" s="4" t="str">
        <f t="shared" si="33"/>
        <v>/</v>
      </c>
      <c r="S310" s="4" t="str">
        <f t="shared" si="34"/>
        <v/>
      </c>
    </row>
    <row r="311" spans="1:19" x14ac:dyDescent="0.35">
      <c r="A311" s="54"/>
      <c r="B311" s="57"/>
      <c r="C311" s="60"/>
      <c r="D311" s="66" t="str">
        <f t="shared" si="28"/>
        <v/>
      </c>
      <c r="E311" s="64" t="str">
        <f>IF(OR(C311="",A311=""),"",IF(A311&lt;'Page de garde'!$G$7,IF(VALUE(RIGHT(C311,2))&lt;50,76,96),INDEX(EC!$C$2:$C$677,MATCH(C311,EC,0))))</f>
        <v/>
      </c>
      <c r="F311" s="33" t="str">
        <f t="shared" si="29"/>
        <v/>
      </c>
      <c r="G311" s="38"/>
      <c r="H311" s="38"/>
      <c r="I311" s="38"/>
      <c r="J311" s="36"/>
      <c r="K311" s="29"/>
      <c r="L311" s="29"/>
      <c r="M311" s="31"/>
      <c r="N311" s="40">
        <f t="shared" si="30"/>
        <v>0</v>
      </c>
      <c r="P311" s="4" t="str">
        <f t="shared" si="31"/>
        <v/>
      </c>
      <c r="Q311" s="4" t="str">
        <f t="shared" si="32"/>
        <v/>
      </c>
      <c r="R311" s="4" t="str">
        <f t="shared" si="33"/>
        <v>/</v>
      </c>
      <c r="S311" s="4" t="str">
        <f t="shared" si="34"/>
        <v/>
      </c>
    </row>
    <row r="312" spans="1:19" x14ac:dyDescent="0.35">
      <c r="A312" s="54"/>
      <c r="B312" s="57"/>
      <c r="C312" s="60"/>
      <c r="D312" s="66" t="str">
        <f t="shared" si="28"/>
        <v/>
      </c>
      <c r="E312" s="64" t="str">
        <f>IF(OR(C312="",A312=""),"",IF(A312&lt;'Page de garde'!$G$7,IF(VALUE(RIGHT(C312,2))&lt;50,76,96),INDEX(EC!$C$2:$C$677,MATCH(C312,EC,0))))</f>
        <v/>
      </c>
      <c r="F312" s="33" t="str">
        <f t="shared" si="29"/>
        <v/>
      </c>
      <c r="G312" s="38"/>
      <c r="H312" s="38"/>
      <c r="I312" s="38"/>
      <c r="J312" s="36"/>
      <c r="K312" s="29"/>
      <c r="L312" s="29"/>
      <c r="M312" s="31"/>
      <c r="N312" s="40">
        <f t="shared" si="30"/>
        <v>0</v>
      </c>
      <c r="P312" s="4" t="str">
        <f t="shared" si="31"/>
        <v/>
      </c>
      <c r="Q312" s="4" t="str">
        <f t="shared" si="32"/>
        <v/>
      </c>
      <c r="R312" s="4" t="str">
        <f t="shared" si="33"/>
        <v>/</v>
      </c>
      <c r="S312" s="4" t="str">
        <f t="shared" si="34"/>
        <v/>
      </c>
    </row>
    <row r="313" spans="1:19" x14ac:dyDescent="0.35">
      <c r="A313" s="54"/>
      <c r="B313" s="57"/>
      <c r="C313" s="60"/>
      <c r="D313" s="66" t="str">
        <f t="shared" si="28"/>
        <v/>
      </c>
      <c r="E313" s="64" t="str">
        <f>IF(OR(C313="",A313=""),"",IF(A313&lt;'Page de garde'!$G$7,IF(VALUE(RIGHT(C313,2))&lt;50,76,96),INDEX(EC!$C$2:$C$677,MATCH(C313,EC,0))))</f>
        <v/>
      </c>
      <c r="F313" s="33" t="str">
        <f t="shared" si="29"/>
        <v/>
      </c>
      <c r="G313" s="38"/>
      <c r="H313" s="38"/>
      <c r="I313" s="38"/>
      <c r="J313" s="36"/>
      <c r="K313" s="29"/>
      <c r="L313" s="29"/>
      <c r="M313" s="31"/>
      <c r="N313" s="40">
        <f t="shared" si="30"/>
        <v>0</v>
      </c>
      <c r="P313" s="4" t="str">
        <f t="shared" si="31"/>
        <v/>
      </c>
      <c r="Q313" s="4" t="str">
        <f t="shared" si="32"/>
        <v/>
      </c>
      <c r="R313" s="4" t="str">
        <f t="shared" si="33"/>
        <v>/</v>
      </c>
      <c r="S313" s="4" t="str">
        <f t="shared" si="34"/>
        <v/>
      </c>
    </row>
    <row r="314" spans="1:19" x14ac:dyDescent="0.35">
      <c r="A314" s="54"/>
      <c r="B314" s="57"/>
      <c r="C314" s="60"/>
      <c r="D314" s="66" t="str">
        <f t="shared" si="28"/>
        <v/>
      </c>
      <c r="E314" s="64" t="str">
        <f>IF(OR(C314="",A314=""),"",IF(A314&lt;'Page de garde'!$G$7,IF(VALUE(RIGHT(C314,2))&lt;50,76,96),INDEX(EC!$C$2:$C$677,MATCH(C314,EC,0))))</f>
        <v/>
      </c>
      <c r="F314" s="33" t="str">
        <f t="shared" si="29"/>
        <v/>
      </c>
      <c r="G314" s="38"/>
      <c r="H314" s="38"/>
      <c r="I314" s="38"/>
      <c r="J314" s="36"/>
      <c r="K314" s="29"/>
      <c r="L314" s="29"/>
      <c r="M314" s="31"/>
      <c r="N314" s="40">
        <f t="shared" si="30"/>
        <v>0</v>
      </c>
      <c r="P314" s="4" t="str">
        <f t="shared" si="31"/>
        <v/>
      </c>
      <c r="Q314" s="4" t="str">
        <f t="shared" si="32"/>
        <v/>
      </c>
      <c r="R314" s="4" t="str">
        <f t="shared" si="33"/>
        <v>/</v>
      </c>
      <c r="S314" s="4" t="str">
        <f t="shared" si="34"/>
        <v/>
      </c>
    </row>
    <row r="315" spans="1:19" x14ac:dyDescent="0.35">
      <c r="A315" s="54"/>
      <c r="B315" s="57"/>
      <c r="C315" s="60"/>
      <c r="D315" s="66" t="str">
        <f t="shared" si="28"/>
        <v/>
      </c>
      <c r="E315" s="64" t="str">
        <f>IF(OR(C315="",A315=""),"",IF(A315&lt;'Page de garde'!$G$7,IF(VALUE(RIGHT(C315,2))&lt;50,76,96),INDEX(EC!$C$2:$C$677,MATCH(C315,EC,0))))</f>
        <v/>
      </c>
      <c r="F315" s="33" t="str">
        <f t="shared" si="29"/>
        <v/>
      </c>
      <c r="G315" s="38"/>
      <c r="H315" s="38"/>
      <c r="I315" s="38"/>
      <c r="J315" s="36"/>
      <c r="K315" s="29"/>
      <c r="L315" s="29"/>
      <c r="M315" s="31"/>
      <c r="N315" s="40">
        <f t="shared" si="30"/>
        <v>0</v>
      </c>
      <c r="P315" s="4" t="str">
        <f t="shared" si="31"/>
        <v/>
      </c>
      <c r="Q315" s="4" t="str">
        <f t="shared" si="32"/>
        <v/>
      </c>
      <c r="R315" s="4" t="str">
        <f t="shared" si="33"/>
        <v>/</v>
      </c>
      <c r="S315" s="4" t="str">
        <f t="shared" si="34"/>
        <v/>
      </c>
    </row>
    <row r="316" spans="1:19" x14ac:dyDescent="0.35">
      <c r="A316" s="54"/>
      <c r="B316" s="57"/>
      <c r="C316" s="60"/>
      <c r="D316" s="66" t="str">
        <f t="shared" si="28"/>
        <v/>
      </c>
      <c r="E316" s="64" t="str">
        <f>IF(OR(C316="",A316=""),"",IF(A316&lt;'Page de garde'!$G$7,IF(VALUE(RIGHT(C316,2))&lt;50,76,96),INDEX(EC!$C$2:$C$677,MATCH(C316,EC,0))))</f>
        <v/>
      </c>
      <c r="F316" s="33" t="str">
        <f t="shared" si="29"/>
        <v/>
      </c>
      <c r="G316" s="38"/>
      <c r="H316" s="38"/>
      <c r="I316" s="38"/>
      <c r="J316" s="36"/>
      <c r="K316" s="29"/>
      <c r="L316" s="29"/>
      <c r="M316" s="31"/>
      <c r="N316" s="40">
        <f t="shared" si="30"/>
        <v>0</v>
      </c>
      <c r="P316" s="4" t="str">
        <f t="shared" si="31"/>
        <v/>
      </c>
      <c r="Q316" s="4" t="str">
        <f t="shared" si="32"/>
        <v/>
      </c>
      <c r="R316" s="4" t="str">
        <f t="shared" si="33"/>
        <v>/</v>
      </c>
      <c r="S316" s="4" t="str">
        <f t="shared" si="34"/>
        <v/>
      </c>
    </row>
    <row r="317" spans="1:19" x14ac:dyDescent="0.35">
      <c r="A317" s="54"/>
      <c r="B317" s="57"/>
      <c r="C317" s="60"/>
      <c r="D317" s="66" t="str">
        <f t="shared" si="28"/>
        <v/>
      </c>
      <c r="E317" s="64" t="str">
        <f>IF(OR(C317="",A317=""),"",IF(A317&lt;'Page de garde'!$G$7,IF(VALUE(RIGHT(C317,2))&lt;50,76,96),INDEX(EC!$C$2:$C$677,MATCH(C317,EC,0))))</f>
        <v/>
      </c>
      <c r="F317" s="33" t="str">
        <f t="shared" si="29"/>
        <v/>
      </c>
      <c r="G317" s="38"/>
      <c r="H317" s="38"/>
      <c r="I317" s="38"/>
      <c r="J317" s="36"/>
      <c r="K317" s="29"/>
      <c r="L317" s="29"/>
      <c r="M317" s="31"/>
      <c r="N317" s="40">
        <f t="shared" si="30"/>
        <v>0</v>
      </c>
      <c r="P317" s="4" t="str">
        <f t="shared" si="31"/>
        <v/>
      </c>
      <c r="Q317" s="4" t="str">
        <f t="shared" si="32"/>
        <v/>
      </c>
      <c r="R317" s="4" t="str">
        <f t="shared" si="33"/>
        <v>/</v>
      </c>
      <c r="S317" s="4" t="str">
        <f t="shared" si="34"/>
        <v/>
      </c>
    </row>
    <row r="318" spans="1:19" x14ac:dyDescent="0.35">
      <c r="A318" s="54"/>
      <c r="B318" s="57"/>
      <c r="C318" s="60"/>
      <c r="D318" s="66" t="str">
        <f t="shared" si="28"/>
        <v/>
      </c>
      <c r="E318" s="64" t="str">
        <f>IF(OR(C318="",A318=""),"",IF(A318&lt;'Page de garde'!$G$7,IF(VALUE(RIGHT(C318,2))&lt;50,76,96),INDEX(EC!$C$2:$C$677,MATCH(C318,EC,0))))</f>
        <v/>
      </c>
      <c r="F318" s="33" t="str">
        <f t="shared" si="29"/>
        <v/>
      </c>
      <c r="G318" s="38"/>
      <c r="H318" s="38"/>
      <c r="I318" s="38"/>
      <c r="J318" s="36"/>
      <c r="K318" s="29"/>
      <c r="L318" s="29"/>
      <c r="M318" s="31"/>
      <c r="N318" s="40">
        <f t="shared" si="30"/>
        <v>0</v>
      </c>
      <c r="P318" s="4" t="str">
        <f t="shared" si="31"/>
        <v/>
      </c>
      <c r="Q318" s="4" t="str">
        <f t="shared" si="32"/>
        <v/>
      </c>
      <c r="R318" s="4" t="str">
        <f t="shared" si="33"/>
        <v>/</v>
      </c>
      <c r="S318" s="4" t="str">
        <f t="shared" si="34"/>
        <v/>
      </c>
    </row>
    <row r="319" spans="1:19" x14ac:dyDescent="0.35">
      <c r="A319" s="54"/>
      <c r="B319" s="57"/>
      <c r="C319" s="60"/>
      <c r="D319" s="66" t="str">
        <f t="shared" si="28"/>
        <v/>
      </c>
      <c r="E319" s="64" t="str">
        <f>IF(OR(C319="",A319=""),"",IF(A319&lt;'Page de garde'!$G$7,IF(VALUE(RIGHT(C319,2))&lt;50,76,96),INDEX(EC!$C$2:$C$677,MATCH(C319,EC,0))))</f>
        <v/>
      </c>
      <c r="F319" s="33" t="str">
        <f t="shared" si="29"/>
        <v/>
      </c>
      <c r="G319" s="38"/>
      <c r="H319" s="38"/>
      <c r="I319" s="38"/>
      <c r="J319" s="36"/>
      <c r="K319" s="29"/>
      <c r="L319" s="29"/>
      <c r="M319" s="31"/>
      <c r="N319" s="40">
        <f t="shared" si="30"/>
        <v>0</v>
      </c>
      <c r="P319" s="4" t="str">
        <f t="shared" si="31"/>
        <v/>
      </c>
      <c r="Q319" s="4" t="str">
        <f t="shared" si="32"/>
        <v/>
      </c>
      <c r="R319" s="4" t="str">
        <f t="shared" si="33"/>
        <v>/</v>
      </c>
      <c r="S319" s="4" t="str">
        <f t="shared" si="34"/>
        <v/>
      </c>
    </row>
    <row r="320" spans="1:19" x14ac:dyDescent="0.35">
      <c r="A320" s="54"/>
      <c r="B320" s="57"/>
      <c r="C320" s="60"/>
      <c r="D320" s="66" t="str">
        <f t="shared" si="28"/>
        <v/>
      </c>
      <c r="E320" s="64" t="str">
        <f>IF(OR(C320="",A320=""),"",IF(A320&lt;'Page de garde'!$G$7,IF(VALUE(RIGHT(C320,2))&lt;50,76,96),INDEX(EC!$C$2:$C$677,MATCH(C320,EC,0))))</f>
        <v/>
      </c>
      <c r="F320" s="33" t="str">
        <f t="shared" si="29"/>
        <v/>
      </c>
      <c r="G320" s="38"/>
      <c r="H320" s="38"/>
      <c r="I320" s="38"/>
      <c r="J320" s="36"/>
      <c r="K320" s="29"/>
      <c r="L320" s="29"/>
      <c r="M320" s="31"/>
      <c r="N320" s="40">
        <f t="shared" si="30"/>
        <v>0</v>
      </c>
      <c r="P320" s="4" t="str">
        <f t="shared" si="31"/>
        <v/>
      </c>
      <c r="Q320" s="4" t="str">
        <f t="shared" si="32"/>
        <v/>
      </c>
      <c r="R320" s="4" t="str">
        <f t="shared" si="33"/>
        <v>/</v>
      </c>
      <c r="S320" s="4" t="str">
        <f t="shared" si="34"/>
        <v/>
      </c>
    </row>
    <row r="321" spans="1:19" x14ac:dyDescent="0.35">
      <c r="A321" s="54"/>
      <c r="B321" s="57"/>
      <c r="C321" s="60"/>
      <c r="D321" s="66" t="str">
        <f t="shared" si="28"/>
        <v/>
      </c>
      <c r="E321" s="64" t="str">
        <f>IF(OR(C321="",A321=""),"",IF(A321&lt;'Page de garde'!$G$7,IF(VALUE(RIGHT(C321,2))&lt;50,76,96),INDEX(EC!$C$2:$C$677,MATCH(C321,EC,0))))</f>
        <v/>
      </c>
      <c r="F321" s="33" t="str">
        <f t="shared" si="29"/>
        <v/>
      </c>
      <c r="G321" s="38"/>
      <c r="H321" s="38"/>
      <c r="I321" s="38"/>
      <c r="J321" s="36"/>
      <c r="K321" s="29"/>
      <c r="L321" s="29"/>
      <c r="M321" s="31"/>
      <c r="N321" s="40">
        <f t="shared" si="30"/>
        <v>0</v>
      </c>
      <c r="P321" s="4" t="str">
        <f t="shared" si="31"/>
        <v/>
      </c>
      <c r="Q321" s="4" t="str">
        <f t="shared" si="32"/>
        <v/>
      </c>
      <c r="R321" s="4" t="str">
        <f t="shared" si="33"/>
        <v>/</v>
      </c>
      <c r="S321" s="4" t="str">
        <f t="shared" si="34"/>
        <v/>
      </c>
    </row>
    <row r="322" spans="1:19" x14ac:dyDescent="0.35">
      <c r="A322" s="54"/>
      <c r="B322" s="57"/>
      <c r="C322" s="60"/>
      <c r="D322" s="66" t="str">
        <f t="shared" si="28"/>
        <v/>
      </c>
      <c r="E322" s="64" t="str">
        <f>IF(OR(C322="",A322=""),"",IF(A322&lt;'Page de garde'!$G$7,IF(VALUE(RIGHT(C322,2))&lt;50,76,96),INDEX(EC!$C$2:$C$677,MATCH(C322,EC,0))))</f>
        <v/>
      </c>
      <c r="F322" s="33" t="str">
        <f t="shared" si="29"/>
        <v/>
      </c>
      <c r="G322" s="38"/>
      <c r="H322" s="38"/>
      <c r="I322" s="38"/>
      <c r="J322" s="36"/>
      <c r="K322" s="29"/>
      <c r="L322" s="29"/>
      <c r="M322" s="31"/>
      <c r="N322" s="40">
        <f t="shared" si="30"/>
        <v>0</v>
      </c>
      <c r="P322" s="4" t="str">
        <f t="shared" si="31"/>
        <v/>
      </c>
      <c r="Q322" s="4" t="str">
        <f t="shared" si="32"/>
        <v/>
      </c>
      <c r="R322" s="4" t="str">
        <f t="shared" si="33"/>
        <v>/</v>
      </c>
      <c r="S322" s="4" t="str">
        <f t="shared" si="34"/>
        <v/>
      </c>
    </row>
    <row r="323" spans="1:19" x14ac:dyDescent="0.35">
      <c r="A323" s="54"/>
      <c r="B323" s="57"/>
      <c r="C323" s="60"/>
      <c r="D323" s="66" t="str">
        <f t="shared" si="28"/>
        <v/>
      </c>
      <c r="E323" s="64" t="str">
        <f>IF(OR(C323="",A323=""),"",IF(A323&lt;'Page de garde'!$G$7,IF(VALUE(RIGHT(C323,2))&lt;50,76,96),INDEX(EC!$C$2:$C$677,MATCH(C323,EC,0))))</f>
        <v/>
      </c>
      <c r="F323" s="33" t="str">
        <f t="shared" si="29"/>
        <v/>
      </c>
      <c r="G323" s="38"/>
      <c r="H323" s="38"/>
      <c r="I323" s="38"/>
      <c r="J323" s="36"/>
      <c r="K323" s="29"/>
      <c r="L323" s="29"/>
      <c r="M323" s="31"/>
      <c r="N323" s="40">
        <f t="shared" si="30"/>
        <v>0</v>
      </c>
      <c r="P323" s="4" t="str">
        <f t="shared" si="31"/>
        <v/>
      </c>
      <c r="Q323" s="4" t="str">
        <f t="shared" si="32"/>
        <v/>
      </c>
      <c r="R323" s="4" t="str">
        <f t="shared" si="33"/>
        <v>/</v>
      </c>
      <c r="S323" s="4" t="str">
        <f t="shared" si="34"/>
        <v/>
      </c>
    </row>
    <row r="324" spans="1:19" x14ac:dyDescent="0.35">
      <c r="A324" s="54"/>
      <c r="B324" s="57"/>
      <c r="C324" s="60"/>
      <c r="D324" s="66" t="str">
        <f t="shared" si="28"/>
        <v/>
      </c>
      <c r="E324" s="64" t="str">
        <f>IF(OR(C324="",A324=""),"",IF(A324&lt;'Page de garde'!$G$7,IF(VALUE(RIGHT(C324,2))&lt;50,76,96),INDEX(EC!$C$2:$C$677,MATCH(C324,EC,0))))</f>
        <v/>
      </c>
      <c r="F324" s="33" t="str">
        <f t="shared" si="29"/>
        <v/>
      </c>
      <c r="G324" s="38"/>
      <c r="H324" s="38"/>
      <c r="I324" s="38"/>
      <c r="J324" s="36"/>
      <c r="K324" s="29"/>
      <c r="L324" s="29"/>
      <c r="M324" s="31"/>
      <c r="N324" s="40">
        <f t="shared" si="30"/>
        <v>0</v>
      </c>
      <c r="P324" s="4" t="str">
        <f t="shared" si="31"/>
        <v/>
      </c>
      <c r="Q324" s="4" t="str">
        <f t="shared" si="32"/>
        <v/>
      </c>
      <c r="R324" s="4" t="str">
        <f t="shared" si="33"/>
        <v>/</v>
      </c>
      <c r="S324" s="4" t="str">
        <f t="shared" si="34"/>
        <v/>
      </c>
    </row>
    <row r="325" spans="1:19" x14ac:dyDescent="0.35">
      <c r="A325" s="54"/>
      <c r="B325" s="57"/>
      <c r="C325" s="60"/>
      <c r="D325" s="66" t="str">
        <f t="shared" ref="D325:D388" si="35">IF(OR(B325="",C325=""),"",CONCATENATE(B325,"/",LEFT(C325,3),"-",RIGHT(C325,2)))</f>
        <v/>
      </c>
      <c r="E325" s="64" t="str">
        <f>IF(OR(C325="",A325=""),"",IF(A325&lt;'Page de garde'!$G$7,IF(VALUE(RIGHT(C325,2))&lt;50,76,96),INDEX(EC!$C$2:$C$677,MATCH(C325,EC,0))))</f>
        <v/>
      </c>
      <c r="F325" s="33" t="str">
        <f t="shared" ref="F325:F388" si="36">IF(C325="","",INDEX(OmEC,MATCH(C325,EC,0)))</f>
        <v/>
      </c>
      <c r="G325" s="38"/>
      <c r="H325" s="38"/>
      <c r="I325" s="38"/>
      <c r="J325" s="36"/>
      <c r="K325" s="29"/>
      <c r="L325" s="29"/>
      <c r="M325" s="31"/>
      <c r="N325" s="40">
        <f t="shared" ref="N325:N388" si="37">SUM(I325:M325)</f>
        <v>0</v>
      </c>
      <c r="P325" s="4" t="str">
        <f t="shared" ref="P325:P388" si="38">LEFT(C325,3)</f>
        <v/>
      </c>
      <c r="Q325" s="4" t="str">
        <f t="shared" si="32"/>
        <v/>
      </c>
      <c r="R325" s="4" t="str">
        <f t="shared" si="33"/>
        <v>/</v>
      </c>
      <c r="S325" s="4" t="str">
        <f t="shared" si="34"/>
        <v/>
      </c>
    </row>
    <row r="326" spans="1:19" x14ac:dyDescent="0.35">
      <c r="A326" s="54"/>
      <c r="B326" s="57"/>
      <c r="C326" s="60"/>
      <c r="D326" s="66" t="str">
        <f t="shared" si="35"/>
        <v/>
      </c>
      <c r="E326" s="64" t="str">
        <f>IF(OR(C326="",A326=""),"",IF(A326&lt;'Page de garde'!$G$7,IF(VALUE(RIGHT(C326,2))&lt;50,76,96),INDEX(EC!$C$2:$C$677,MATCH(C326,EC,0))))</f>
        <v/>
      </c>
      <c r="F326" s="33" t="str">
        <f t="shared" si="36"/>
        <v/>
      </c>
      <c r="G326" s="38"/>
      <c r="H326" s="38"/>
      <c r="I326" s="38"/>
      <c r="J326" s="36"/>
      <c r="K326" s="29"/>
      <c r="L326" s="29"/>
      <c r="M326" s="31"/>
      <c r="N326" s="40">
        <f t="shared" si="37"/>
        <v>0</v>
      </c>
      <c r="P326" s="4" t="str">
        <f t="shared" si="38"/>
        <v/>
      </c>
      <c r="Q326" s="4" t="str">
        <f t="shared" ref="Q326:Q389" si="39">IF(C326="","",IF(VALUE(RIGHT(C326,2))&lt;50,"G","B"))</f>
        <v/>
      </c>
      <c r="R326" s="4" t="str">
        <f t="shared" ref="R326:R389" si="40">CONCATENATE(D326,"/",A326)</f>
        <v>/</v>
      </c>
      <c r="S326" s="4" t="str">
        <f t="shared" ref="S326:S389" si="41">LEFT(B326,3)</f>
        <v/>
      </c>
    </row>
    <row r="327" spans="1:19" x14ac:dyDescent="0.35">
      <c r="A327" s="54"/>
      <c r="B327" s="57"/>
      <c r="C327" s="60"/>
      <c r="D327" s="66" t="str">
        <f t="shared" si="35"/>
        <v/>
      </c>
      <c r="E327" s="64" t="str">
        <f>IF(OR(C327="",A327=""),"",IF(A327&lt;'Page de garde'!$G$7,IF(VALUE(RIGHT(C327,2))&lt;50,76,96),INDEX(EC!$C$2:$C$677,MATCH(C327,EC,0))))</f>
        <v/>
      </c>
      <c r="F327" s="33" t="str">
        <f t="shared" si="36"/>
        <v/>
      </c>
      <c r="G327" s="38"/>
      <c r="H327" s="38"/>
      <c r="I327" s="38"/>
      <c r="J327" s="36"/>
      <c r="K327" s="29"/>
      <c r="L327" s="29"/>
      <c r="M327" s="31"/>
      <c r="N327" s="40">
        <f t="shared" si="37"/>
        <v>0</v>
      </c>
      <c r="P327" s="4" t="str">
        <f t="shared" si="38"/>
        <v/>
      </c>
      <c r="Q327" s="4" t="str">
        <f t="shared" si="39"/>
        <v/>
      </c>
      <c r="R327" s="4" t="str">
        <f t="shared" si="40"/>
        <v>/</v>
      </c>
      <c r="S327" s="4" t="str">
        <f t="shared" si="41"/>
        <v/>
      </c>
    </row>
    <row r="328" spans="1:19" x14ac:dyDescent="0.35">
      <c r="A328" s="54"/>
      <c r="B328" s="57"/>
      <c r="C328" s="60"/>
      <c r="D328" s="66" t="str">
        <f t="shared" si="35"/>
        <v/>
      </c>
      <c r="E328" s="64" t="str">
        <f>IF(OR(C328="",A328=""),"",IF(A328&lt;'Page de garde'!$G$7,IF(VALUE(RIGHT(C328,2))&lt;50,76,96),INDEX(EC!$C$2:$C$677,MATCH(C328,EC,0))))</f>
        <v/>
      </c>
      <c r="F328" s="33" t="str">
        <f t="shared" si="36"/>
        <v/>
      </c>
      <c r="G328" s="38"/>
      <c r="H328" s="38"/>
      <c r="I328" s="38"/>
      <c r="J328" s="36"/>
      <c r="K328" s="29"/>
      <c r="L328" s="29"/>
      <c r="M328" s="31"/>
      <c r="N328" s="40">
        <f t="shared" si="37"/>
        <v>0</v>
      </c>
      <c r="P328" s="4" t="str">
        <f t="shared" si="38"/>
        <v/>
      </c>
      <c r="Q328" s="4" t="str">
        <f t="shared" si="39"/>
        <v/>
      </c>
      <c r="R328" s="4" t="str">
        <f t="shared" si="40"/>
        <v>/</v>
      </c>
      <c r="S328" s="4" t="str">
        <f t="shared" si="41"/>
        <v/>
      </c>
    </row>
    <row r="329" spans="1:19" x14ac:dyDescent="0.35">
      <c r="A329" s="54"/>
      <c r="B329" s="57"/>
      <c r="C329" s="60"/>
      <c r="D329" s="66" t="str">
        <f t="shared" si="35"/>
        <v/>
      </c>
      <c r="E329" s="64" t="str">
        <f>IF(OR(C329="",A329=""),"",IF(A329&lt;'Page de garde'!$G$7,IF(VALUE(RIGHT(C329,2))&lt;50,76,96),INDEX(EC!$C$2:$C$677,MATCH(C329,EC,0))))</f>
        <v/>
      </c>
      <c r="F329" s="33" t="str">
        <f t="shared" si="36"/>
        <v/>
      </c>
      <c r="G329" s="38"/>
      <c r="H329" s="38"/>
      <c r="I329" s="38"/>
      <c r="J329" s="36"/>
      <c r="K329" s="29"/>
      <c r="L329" s="29"/>
      <c r="M329" s="31"/>
      <c r="N329" s="40">
        <f t="shared" si="37"/>
        <v>0</v>
      </c>
      <c r="P329" s="4" t="str">
        <f t="shared" si="38"/>
        <v/>
      </c>
      <c r="Q329" s="4" t="str">
        <f t="shared" si="39"/>
        <v/>
      </c>
      <c r="R329" s="4" t="str">
        <f t="shared" si="40"/>
        <v>/</v>
      </c>
      <c r="S329" s="4" t="str">
        <f t="shared" si="41"/>
        <v/>
      </c>
    </row>
    <row r="330" spans="1:19" x14ac:dyDescent="0.35">
      <c r="A330" s="54"/>
      <c r="B330" s="57"/>
      <c r="C330" s="60"/>
      <c r="D330" s="66" t="str">
        <f t="shared" si="35"/>
        <v/>
      </c>
      <c r="E330" s="64" t="str">
        <f>IF(OR(C330="",A330=""),"",IF(A330&lt;'Page de garde'!$G$7,IF(VALUE(RIGHT(C330,2))&lt;50,76,96),INDEX(EC!$C$2:$C$677,MATCH(C330,EC,0))))</f>
        <v/>
      </c>
      <c r="F330" s="33" t="str">
        <f t="shared" si="36"/>
        <v/>
      </c>
      <c r="G330" s="38"/>
      <c r="H330" s="38"/>
      <c r="I330" s="38"/>
      <c r="J330" s="36"/>
      <c r="K330" s="29"/>
      <c r="L330" s="29"/>
      <c r="M330" s="31"/>
      <c r="N330" s="40">
        <f t="shared" si="37"/>
        <v>0</v>
      </c>
      <c r="P330" s="4" t="str">
        <f t="shared" si="38"/>
        <v/>
      </c>
      <c r="Q330" s="4" t="str">
        <f t="shared" si="39"/>
        <v/>
      </c>
      <c r="R330" s="4" t="str">
        <f t="shared" si="40"/>
        <v>/</v>
      </c>
      <c r="S330" s="4" t="str">
        <f t="shared" si="41"/>
        <v/>
      </c>
    </row>
    <row r="331" spans="1:19" x14ac:dyDescent="0.35">
      <c r="A331" s="54"/>
      <c r="B331" s="57"/>
      <c r="C331" s="60"/>
      <c r="D331" s="66" t="str">
        <f t="shared" si="35"/>
        <v/>
      </c>
      <c r="E331" s="64" t="str">
        <f>IF(OR(C331="",A331=""),"",IF(A331&lt;'Page de garde'!$G$7,IF(VALUE(RIGHT(C331,2))&lt;50,76,96),INDEX(EC!$C$2:$C$677,MATCH(C331,EC,0))))</f>
        <v/>
      </c>
      <c r="F331" s="33" t="str">
        <f t="shared" si="36"/>
        <v/>
      </c>
      <c r="G331" s="38"/>
      <c r="H331" s="38"/>
      <c r="I331" s="38"/>
      <c r="J331" s="36"/>
      <c r="K331" s="29"/>
      <c r="L331" s="29"/>
      <c r="M331" s="31"/>
      <c r="N331" s="40">
        <f t="shared" si="37"/>
        <v>0</v>
      </c>
      <c r="P331" s="4" t="str">
        <f t="shared" si="38"/>
        <v/>
      </c>
      <c r="Q331" s="4" t="str">
        <f t="shared" si="39"/>
        <v/>
      </c>
      <c r="R331" s="4" t="str">
        <f t="shared" si="40"/>
        <v>/</v>
      </c>
      <c r="S331" s="4" t="str">
        <f t="shared" si="41"/>
        <v/>
      </c>
    </row>
    <row r="332" spans="1:19" x14ac:dyDescent="0.35">
      <c r="A332" s="54"/>
      <c r="B332" s="57"/>
      <c r="C332" s="60"/>
      <c r="D332" s="66" t="str">
        <f t="shared" si="35"/>
        <v/>
      </c>
      <c r="E332" s="64" t="str">
        <f>IF(OR(C332="",A332=""),"",IF(A332&lt;'Page de garde'!$G$7,IF(VALUE(RIGHT(C332,2))&lt;50,76,96),INDEX(EC!$C$2:$C$677,MATCH(C332,EC,0))))</f>
        <v/>
      </c>
      <c r="F332" s="33" t="str">
        <f t="shared" si="36"/>
        <v/>
      </c>
      <c r="G332" s="38"/>
      <c r="H332" s="38"/>
      <c r="I332" s="38"/>
      <c r="J332" s="36"/>
      <c r="K332" s="29"/>
      <c r="L332" s="29"/>
      <c r="M332" s="31"/>
      <c r="N332" s="40">
        <f t="shared" si="37"/>
        <v>0</v>
      </c>
      <c r="P332" s="4" t="str">
        <f t="shared" si="38"/>
        <v/>
      </c>
      <c r="Q332" s="4" t="str">
        <f t="shared" si="39"/>
        <v/>
      </c>
      <c r="R332" s="4" t="str">
        <f t="shared" si="40"/>
        <v>/</v>
      </c>
      <c r="S332" s="4" t="str">
        <f t="shared" si="41"/>
        <v/>
      </c>
    </row>
    <row r="333" spans="1:19" x14ac:dyDescent="0.35">
      <c r="A333" s="54"/>
      <c r="B333" s="57"/>
      <c r="C333" s="60"/>
      <c r="D333" s="66" t="str">
        <f t="shared" si="35"/>
        <v/>
      </c>
      <c r="E333" s="64" t="str">
        <f>IF(OR(C333="",A333=""),"",IF(A333&lt;'Page de garde'!$G$7,IF(VALUE(RIGHT(C333,2))&lt;50,76,96),INDEX(EC!$C$2:$C$677,MATCH(C333,EC,0))))</f>
        <v/>
      </c>
      <c r="F333" s="33" t="str">
        <f t="shared" si="36"/>
        <v/>
      </c>
      <c r="G333" s="38"/>
      <c r="H333" s="38"/>
      <c r="I333" s="38"/>
      <c r="J333" s="36"/>
      <c r="K333" s="29"/>
      <c r="L333" s="29"/>
      <c r="M333" s="31"/>
      <c r="N333" s="40">
        <f t="shared" si="37"/>
        <v>0</v>
      </c>
      <c r="P333" s="4" t="str">
        <f t="shared" si="38"/>
        <v/>
      </c>
      <c r="Q333" s="4" t="str">
        <f t="shared" si="39"/>
        <v/>
      </c>
      <c r="R333" s="4" t="str">
        <f t="shared" si="40"/>
        <v>/</v>
      </c>
      <c r="S333" s="4" t="str">
        <f t="shared" si="41"/>
        <v/>
      </c>
    </row>
    <row r="334" spans="1:19" x14ac:dyDescent="0.35">
      <c r="A334" s="54"/>
      <c r="B334" s="57"/>
      <c r="C334" s="60"/>
      <c r="D334" s="66" t="str">
        <f t="shared" si="35"/>
        <v/>
      </c>
      <c r="E334" s="64" t="str">
        <f>IF(OR(C334="",A334=""),"",IF(A334&lt;'Page de garde'!$G$7,IF(VALUE(RIGHT(C334,2))&lt;50,76,96),INDEX(EC!$C$2:$C$677,MATCH(C334,EC,0))))</f>
        <v/>
      </c>
      <c r="F334" s="33" t="str">
        <f t="shared" si="36"/>
        <v/>
      </c>
      <c r="G334" s="38"/>
      <c r="H334" s="38"/>
      <c r="I334" s="38"/>
      <c r="J334" s="36"/>
      <c r="K334" s="29"/>
      <c r="L334" s="29"/>
      <c r="M334" s="31"/>
      <c r="N334" s="40">
        <f t="shared" si="37"/>
        <v>0</v>
      </c>
      <c r="P334" s="4" t="str">
        <f t="shared" si="38"/>
        <v/>
      </c>
      <c r="Q334" s="4" t="str">
        <f t="shared" si="39"/>
        <v/>
      </c>
      <c r="R334" s="4" t="str">
        <f t="shared" si="40"/>
        <v>/</v>
      </c>
      <c r="S334" s="4" t="str">
        <f t="shared" si="41"/>
        <v/>
      </c>
    </row>
    <row r="335" spans="1:19" x14ac:dyDescent="0.35">
      <c r="A335" s="54"/>
      <c r="B335" s="57"/>
      <c r="C335" s="60"/>
      <c r="D335" s="66" t="str">
        <f t="shared" si="35"/>
        <v/>
      </c>
      <c r="E335" s="64" t="str">
        <f>IF(OR(C335="",A335=""),"",IF(A335&lt;'Page de garde'!$G$7,IF(VALUE(RIGHT(C335,2))&lt;50,76,96),INDEX(EC!$C$2:$C$677,MATCH(C335,EC,0))))</f>
        <v/>
      </c>
      <c r="F335" s="33" t="str">
        <f t="shared" si="36"/>
        <v/>
      </c>
      <c r="G335" s="38"/>
      <c r="H335" s="38"/>
      <c r="I335" s="38"/>
      <c r="J335" s="36"/>
      <c r="K335" s="29"/>
      <c r="L335" s="29"/>
      <c r="M335" s="31"/>
      <c r="N335" s="40">
        <f t="shared" si="37"/>
        <v>0</v>
      </c>
      <c r="P335" s="4" t="str">
        <f t="shared" si="38"/>
        <v/>
      </c>
      <c r="Q335" s="4" t="str">
        <f t="shared" si="39"/>
        <v/>
      </c>
      <c r="R335" s="4" t="str">
        <f t="shared" si="40"/>
        <v>/</v>
      </c>
      <c r="S335" s="4" t="str">
        <f t="shared" si="41"/>
        <v/>
      </c>
    </row>
    <row r="336" spans="1:19" x14ac:dyDescent="0.35">
      <c r="A336" s="54"/>
      <c r="B336" s="57"/>
      <c r="C336" s="60"/>
      <c r="D336" s="66" t="str">
        <f t="shared" si="35"/>
        <v/>
      </c>
      <c r="E336" s="64" t="str">
        <f>IF(OR(C336="",A336=""),"",IF(A336&lt;'Page de garde'!$G$7,IF(VALUE(RIGHT(C336,2))&lt;50,76,96),INDEX(EC!$C$2:$C$677,MATCH(C336,EC,0))))</f>
        <v/>
      </c>
      <c r="F336" s="33" t="str">
        <f t="shared" si="36"/>
        <v/>
      </c>
      <c r="G336" s="38"/>
      <c r="H336" s="38"/>
      <c r="I336" s="38"/>
      <c r="J336" s="36"/>
      <c r="K336" s="29"/>
      <c r="L336" s="29"/>
      <c r="M336" s="31"/>
      <c r="N336" s="40">
        <f t="shared" si="37"/>
        <v>0</v>
      </c>
      <c r="P336" s="4" t="str">
        <f t="shared" si="38"/>
        <v/>
      </c>
      <c r="Q336" s="4" t="str">
        <f t="shared" si="39"/>
        <v/>
      </c>
      <c r="R336" s="4" t="str">
        <f t="shared" si="40"/>
        <v>/</v>
      </c>
      <c r="S336" s="4" t="str">
        <f t="shared" si="41"/>
        <v/>
      </c>
    </row>
    <row r="337" spans="1:19" x14ac:dyDescent="0.35">
      <c r="A337" s="54"/>
      <c r="B337" s="57"/>
      <c r="C337" s="60"/>
      <c r="D337" s="66" t="str">
        <f t="shared" si="35"/>
        <v/>
      </c>
      <c r="E337" s="64" t="str">
        <f>IF(OR(C337="",A337=""),"",IF(A337&lt;'Page de garde'!$G$7,IF(VALUE(RIGHT(C337,2))&lt;50,76,96),INDEX(EC!$C$2:$C$677,MATCH(C337,EC,0))))</f>
        <v/>
      </c>
      <c r="F337" s="33" t="str">
        <f t="shared" si="36"/>
        <v/>
      </c>
      <c r="G337" s="38"/>
      <c r="H337" s="38"/>
      <c r="I337" s="38"/>
      <c r="J337" s="36"/>
      <c r="K337" s="29"/>
      <c r="L337" s="29"/>
      <c r="M337" s="31"/>
      <c r="N337" s="40">
        <f t="shared" si="37"/>
        <v>0</v>
      </c>
      <c r="P337" s="4" t="str">
        <f t="shared" si="38"/>
        <v/>
      </c>
      <c r="Q337" s="4" t="str">
        <f t="shared" si="39"/>
        <v/>
      </c>
      <c r="R337" s="4" t="str">
        <f t="shared" si="40"/>
        <v>/</v>
      </c>
      <c r="S337" s="4" t="str">
        <f t="shared" si="41"/>
        <v/>
      </c>
    </row>
    <row r="338" spans="1:19" x14ac:dyDescent="0.35">
      <c r="A338" s="54"/>
      <c r="B338" s="57"/>
      <c r="C338" s="60"/>
      <c r="D338" s="66" t="str">
        <f t="shared" si="35"/>
        <v/>
      </c>
      <c r="E338" s="64" t="str">
        <f>IF(OR(C338="",A338=""),"",IF(A338&lt;'Page de garde'!$G$7,IF(VALUE(RIGHT(C338,2))&lt;50,76,96),INDEX(EC!$C$2:$C$677,MATCH(C338,EC,0))))</f>
        <v/>
      </c>
      <c r="F338" s="33" t="str">
        <f t="shared" si="36"/>
        <v/>
      </c>
      <c r="G338" s="38"/>
      <c r="H338" s="38"/>
      <c r="I338" s="38"/>
      <c r="J338" s="36"/>
      <c r="K338" s="29"/>
      <c r="L338" s="29"/>
      <c r="M338" s="31"/>
      <c r="N338" s="40">
        <f t="shared" si="37"/>
        <v>0</v>
      </c>
      <c r="P338" s="4" t="str">
        <f t="shared" si="38"/>
        <v/>
      </c>
      <c r="Q338" s="4" t="str">
        <f t="shared" si="39"/>
        <v/>
      </c>
      <c r="R338" s="4" t="str">
        <f t="shared" si="40"/>
        <v>/</v>
      </c>
      <c r="S338" s="4" t="str">
        <f t="shared" si="41"/>
        <v/>
      </c>
    </row>
    <row r="339" spans="1:19" x14ac:dyDescent="0.35">
      <c r="A339" s="54"/>
      <c r="B339" s="57"/>
      <c r="C339" s="60"/>
      <c r="D339" s="66" t="str">
        <f t="shared" si="35"/>
        <v/>
      </c>
      <c r="E339" s="64" t="str">
        <f>IF(OR(C339="",A339=""),"",IF(A339&lt;'Page de garde'!$G$7,IF(VALUE(RIGHT(C339,2))&lt;50,76,96),INDEX(EC!$C$2:$C$677,MATCH(C339,EC,0))))</f>
        <v/>
      </c>
      <c r="F339" s="33" t="str">
        <f t="shared" si="36"/>
        <v/>
      </c>
      <c r="G339" s="38"/>
      <c r="H339" s="38"/>
      <c r="I339" s="38"/>
      <c r="J339" s="36"/>
      <c r="K339" s="29"/>
      <c r="L339" s="29"/>
      <c r="M339" s="31"/>
      <c r="N339" s="40">
        <f t="shared" si="37"/>
        <v>0</v>
      </c>
      <c r="P339" s="4" t="str">
        <f t="shared" si="38"/>
        <v/>
      </c>
      <c r="Q339" s="4" t="str">
        <f t="shared" si="39"/>
        <v/>
      </c>
      <c r="R339" s="4" t="str">
        <f t="shared" si="40"/>
        <v>/</v>
      </c>
      <c r="S339" s="4" t="str">
        <f t="shared" si="41"/>
        <v/>
      </c>
    </row>
    <row r="340" spans="1:19" x14ac:dyDescent="0.35">
      <c r="A340" s="54"/>
      <c r="B340" s="57"/>
      <c r="C340" s="60"/>
      <c r="D340" s="66" t="str">
        <f t="shared" si="35"/>
        <v/>
      </c>
      <c r="E340" s="64" t="str">
        <f>IF(OR(C340="",A340=""),"",IF(A340&lt;'Page de garde'!$G$7,IF(VALUE(RIGHT(C340,2))&lt;50,76,96),INDEX(EC!$C$2:$C$677,MATCH(C340,EC,0))))</f>
        <v/>
      </c>
      <c r="F340" s="33" t="str">
        <f t="shared" si="36"/>
        <v/>
      </c>
      <c r="G340" s="38"/>
      <c r="H340" s="38"/>
      <c r="I340" s="38"/>
      <c r="J340" s="36"/>
      <c r="K340" s="29"/>
      <c r="L340" s="29"/>
      <c r="M340" s="31"/>
      <c r="N340" s="40">
        <f t="shared" si="37"/>
        <v>0</v>
      </c>
      <c r="P340" s="4" t="str">
        <f t="shared" si="38"/>
        <v/>
      </c>
      <c r="Q340" s="4" t="str">
        <f t="shared" si="39"/>
        <v/>
      </c>
      <c r="R340" s="4" t="str">
        <f t="shared" si="40"/>
        <v>/</v>
      </c>
      <c r="S340" s="4" t="str">
        <f t="shared" si="41"/>
        <v/>
      </c>
    </row>
    <row r="341" spans="1:19" x14ac:dyDescent="0.35">
      <c r="A341" s="54"/>
      <c r="B341" s="57"/>
      <c r="C341" s="60"/>
      <c r="D341" s="66" t="str">
        <f t="shared" si="35"/>
        <v/>
      </c>
      <c r="E341" s="64" t="str">
        <f>IF(OR(C341="",A341=""),"",IF(A341&lt;'Page de garde'!$G$7,IF(VALUE(RIGHT(C341,2))&lt;50,76,96),INDEX(EC!$C$2:$C$677,MATCH(C341,EC,0))))</f>
        <v/>
      </c>
      <c r="F341" s="33" t="str">
        <f t="shared" si="36"/>
        <v/>
      </c>
      <c r="G341" s="38"/>
      <c r="H341" s="38"/>
      <c r="I341" s="38"/>
      <c r="J341" s="36"/>
      <c r="K341" s="29"/>
      <c r="L341" s="29"/>
      <c r="M341" s="31"/>
      <c r="N341" s="40">
        <f t="shared" si="37"/>
        <v>0</v>
      </c>
      <c r="P341" s="4" t="str">
        <f t="shared" si="38"/>
        <v/>
      </c>
      <c r="Q341" s="4" t="str">
        <f t="shared" si="39"/>
        <v/>
      </c>
      <c r="R341" s="4" t="str">
        <f t="shared" si="40"/>
        <v>/</v>
      </c>
      <c r="S341" s="4" t="str">
        <f t="shared" si="41"/>
        <v/>
      </c>
    </row>
    <row r="342" spans="1:19" x14ac:dyDescent="0.35">
      <c r="A342" s="54"/>
      <c r="B342" s="57"/>
      <c r="C342" s="60"/>
      <c r="D342" s="66" t="str">
        <f t="shared" si="35"/>
        <v/>
      </c>
      <c r="E342" s="64" t="str">
        <f>IF(OR(C342="",A342=""),"",IF(A342&lt;'Page de garde'!$G$7,IF(VALUE(RIGHT(C342,2))&lt;50,76,96),INDEX(EC!$C$2:$C$677,MATCH(C342,EC,0))))</f>
        <v/>
      </c>
      <c r="F342" s="33" t="str">
        <f t="shared" si="36"/>
        <v/>
      </c>
      <c r="G342" s="38"/>
      <c r="H342" s="38"/>
      <c r="I342" s="38"/>
      <c r="J342" s="36"/>
      <c r="K342" s="29"/>
      <c r="L342" s="29"/>
      <c r="M342" s="31"/>
      <c r="N342" s="40">
        <f t="shared" si="37"/>
        <v>0</v>
      </c>
      <c r="P342" s="4" t="str">
        <f t="shared" si="38"/>
        <v/>
      </c>
      <c r="Q342" s="4" t="str">
        <f t="shared" si="39"/>
        <v/>
      </c>
      <c r="R342" s="4" t="str">
        <f t="shared" si="40"/>
        <v>/</v>
      </c>
      <c r="S342" s="4" t="str">
        <f t="shared" si="41"/>
        <v/>
      </c>
    </row>
    <row r="343" spans="1:19" x14ac:dyDescent="0.35">
      <c r="A343" s="54"/>
      <c r="B343" s="57"/>
      <c r="C343" s="60"/>
      <c r="D343" s="66" t="str">
        <f t="shared" si="35"/>
        <v/>
      </c>
      <c r="E343" s="64" t="str">
        <f>IF(OR(C343="",A343=""),"",IF(A343&lt;'Page de garde'!$G$7,IF(VALUE(RIGHT(C343,2))&lt;50,76,96),INDEX(EC!$C$2:$C$677,MATCH(C343,EC,0))))</f>
        <v/>
      </c>
      <c r="F343" s="33" t="str">
        <f t="shared" si="36"/>
        <v/>
      </c>
      <c r="G343" s="38"/>
      <c r="H343" s="38"/>
      <c r="I343" s="38"/>
      <c r="J343" s="36"/>
      <c r="K343" s="29"/>
      <c r="L343" s="29"/>
      <c r="M343" s="31"/>
      <c r="N343" s="40">
        <f t="shared" si="37"/>
        <v>0</v>
      </c>
      <c r="P343" s="4" t="str">
        <f t="shared" si="38"/>
        <v/>
      </c>
      <c r="Q343" s="4" t="str">
        <f t="shared" si="39"/>
        <v/>
      </c>
      <c r="R343" s="4" t="str">
        <f t="shared" si="40"/>
        <v>/</v>
      </c>
      <c r="S343" s="4" t="str">
        <f t="shared" si="41"/>
        <v/>
      </c>
    </row>
    <row r="344" spans="1:19" x14ac:dyDescent="0.35">
      <c r="A344" s="54"/>
      <c r="B344" s="57"/>
      <c r="C344" s="60"/>
      <c r="D344" s="66" t="str">
        <f t="shared" si="35"/>
        <v/>
      </c>
      <c r="E344" s="64" t="str">
        <f>IF(OR(C344="",A344=""),"",IF(A344&lt;'Page de garde'!$G$7,IF(VALUE(RIGHT(C344,2))&lt;50,76,96),INDEX(EC!$C$2:$C$677,MATCH(C344,EC,0))))</f>
        <v/>
      </c>
      <c r="F344" s="33" t="str">
        <f t="shared" si="36"/>
        <v/>
      </c>
      <c r="G344" s="38"/>
      <c r="H344" s="38"/>
      <c r="I344" s="38"/>
      <c r="J344" s="36"/>
      <c r="K344" s="29"/>
      <c r="L344" s="29"/>
      <c r="M344" s="31"/>
      <c r="N344" s="40">
        <f t="shared" si="37"/>
        <v>0</v>
      </c>
      <c r="P344" s="4" t="str">
        <f t="shared" si="38"/>
        <v/>
      </c>
      <c r="Q344" s="4" t="str">
        <f t="shared" si="39"/>
        <v/>
      </c>
      <c r="R344" s="4" t="str">
        <f t="shared" si="40"/>
        <v>/</v>
      </c>
      <c r="S344" s="4" t="str">
        <f t="shared" si="41"/>
        <v/>
      </c>
    </row>
    <row r="345" spans="1:19" x14ac:dyDescent="0.35">
      <c r="A345" s="54"/>
      <c r="B345" s="57"/>
      <c r="C345" s="60"/>
      <c r="D345" s="66" t="str">
        <f t="shared" si="35"/>
        <v/>
      </c>
      <c r="E345" s="64" t="str">
        <f>IF(OR(C345="",A345=""),"",IF(A345&lt;'Page de garde'!$G$7,IF(VALUE(RIGHT(C345,2))&lt;50,76,96),INDEX(EC!$C$2:$C$677,MATCH(C345,EC,0))))</f>
        <v/>
      </c>
      <c r="F345" s="33" t="str">
        <f t="shared" si="36"/>
        <v/>
      </c>
      <c r="G345" s="38"/>
      <c r="H345" s="38"/>
      <c r="I345" s="38"/>
      <c r="J345" s="36"/>
      <c r="K345" s="29"/>
      <c r="L345" s="29"/>
      <c r="M345" s="31"/>
      <c r="N345" s="40">
        <f t="shared" si="37"/>
        <v>0</v>
      </c>
      <c r="P345" s="4" t="str">
        <f t="shared" si="38"/>
        <v/>
      </c>
      <c r="Q345" s="4" t="str">
        <f t="shared" si="39"/>
        <v/>
      </c>
      <c r="R345" s="4" t="str">
        <f t="shared" si="40"/>
        <v>/</v>
      </c>
      <c r="S345" s="4" t="str">
        <f t="shared" si="41"/>
        <v/>
      </c>
    </row>
    <row r="346" spans="1:19" x14ac:dyDescent="0.35">
      <c r="A346" s="54"/>
      <c r="B346" s="57"/>
      <c r="C346" s="60"/>
      <c r="D346" s="66" t="str">
        <f t="shared" si="35"/>
        <v/>
      </c>
      <c r="E346" s="64" t="str">
        <f>IF(OR(C346="",A346=""),"",IF(A346&lt;'Page de garde'!$G$7,IF(VALUE(RIGHT(C346,2))&lt;50,76,96),INDEX(EC!$C$2:$C$677,MATCH(C346,EC,0))))</f>
        <v/>
      </c>
      <c r="F346" s="33" t="str">
        <f t="shared" si="36"/>
        <v/>
      </c>
      <c r="G346" s="38"/>
      <c r="H346" s="38"/>
      <c r="I346" s="38"/>
      <c r="J346" s="36"/>
      <c r="K346" s="29"/>
      <c r="L346" s="29"/>
      <c r="M346" s="31"/>
      <c r="N346" s="40">
        <f t="shared" si="37"/>
        <v>0</v>
      </c>
      <c r="P346" s="4" t="str">
        <f t="shared" si="38"/>
        <v/>
      </c>
      <c r="Q346" s="4" t="str">
        <f t="shared" si="39"/>
        <v/>
      </c>
      <c r="R346" s="4" t="str">
        <f t="shared" si="40"/>
        <v>/</v>
      </c>
      <c r="S346" s="4" t="str">
        <f t="shared" si="41"/>
        <v/>
      </c>
    </row>
    <row r="347" spans="1:19" x14ac:dyDescent="0.35">
      <c r="A347" s="54"/>
      <c r="B347" s="57"/>
      <c r="C347" s="60"/>
      <c r="D347" s="66" t="str">
        <f t="shared" si="35"/>
        <v/>
      </c>
      <c r="E347" s="64" t="str">
        <f>IF(OR(C347="",A347=""),"",IF(A347&lt;'Page de garde'!$G$7,IF(VALUE(RIGHT(C347,2))&lt;50,76,96),INDEX(EC!$C$2:$C$677,MATCH(C347,EC,0))))</f>
        <v/>
      </c>
      <c r="F347" s="33" t="str">
        <f t="shared" si="36"/>
        <v/>
      </c>
      <c r="G347" s="38"/>
      <c r="H347" s="38"/>
      <c r="I347" s="38"/>
      <c r="J347" s="36"/>
      <c r="K347" s="29"/>
      <c r="L347" s="29"/>
      <c r="M347" s="31"/>
      <c r="N347" s="40">
        <f t="shared" si="37"/>
        <v>0</v>
      </c>
      <c r="P347" s="4" t="str">
        <f t="shared" si="38"/>
        <v/>
      </c>
      <c r="Q347" s="4" t="str">
        <f t="shared" si="39"/>
        <v/>
      </c>
      <c r="R347" s="4" t="str">
        <f t="shared" si="40"/>
        <v>/</v>
      </c>
      <c r="S347" s="4" t="str">
        <f t="shared" si="41"/>
        <v/>
      </c>
    </row>
    <row r="348" spans="1:19" x14ac:dyDescent="0.35">
      <c r="A348" s="54"/>
      <c r="B348" s="57"/>
      <c r="C348" s="60"/>
      <c r="D348" s="66" t="str">
        <f t="shared" si="35"/>
        <v/>
      </c>
      <c r="E348" s="64" t="str">
        <f>IF(OR(C348="",A348=""),"",IF(A348&lt;'Page de garde'!$G$7,IF(VALUE(RIGHT(C348,2))&lt;50,76,96),INDEX(EC!$C$2:$C$677,MATCH(C348,EC,0))))</f>
        <v/>
      </c>
      <c r="F348" s="33" t="str">
        <f t="shared" si="36"/>
        <v/>
      </c>
      <c r="G348" s="38"/>
      <c r="H348" s="38"/>
      <c r="I348" s="38"/>
      <c r="J348" s="36"/>
      <c r="K348" s="29"/>
      <c r="L348" s="29"/>
      <c r="M348" s="31"/>
      <c r="N348" s="40">
        <f t="shared" si="37"/>
        <v>0</v>
      </c>
      <c r="P348" s="4" t="str">
        <f t="shared" si="38"/>
        <v/>
      </c>
      <c r="Q348" s="4" t="str">
        <f t="shared" si="39"/>
        <v/>
      </c>
      <c r="R348" s="4" t="str">
        <f t="shared" si="40"/>
        <v>/</v>
      </c>
      <c r="S348" s="4" t="str">
        <f t="shared" si="41"/>
        <v/>
      </c>
    </row>
    <row r="349" spans="1:19" x14ac:dyDescent="0.35">
      <c r="A349" s="54"/>
      <c r="B349" s="57"/>
      <c r="C349" s="60"/>
      <c r="D349" s="66" t="str">
        <f t="shared" si="35"/>
        <v/>
      </c>
      <c r="E349" s="64" t="str">
        <f>IF(OR(C349="",A349=""),"",IF(A349&lt;'Page de garde'!$G$7,IF(VALUE(RIGHT(C349,2))&lt;50,76,96),INDEX(EC!$C$2:$C$677,MATCH(C349,EC,0))))</f>
        <v/>
      </c>
      <c r="F349" s="33" t="str">
        <f t="shared" si="36"/>
        <v/>
      </c>
      <c r="G349" s="38"/>
      <c r="H349" s="38"/>
      <c r="I349" s="38"/>
      <c r="J349" s="36"/>
      <c r="K349" s="29"/>
      <c r="L349" s="29"/>
      <c r="M349" s="31"/>
      <c r="N349" s="40">
        <f t="shared" si="37"/>
        <v>0</v>
      </c>
      <c r="P349" s="4" t="str">
        <f t="shared" si="38"/>
        <v/>
      </c>
      <c r="Q349" s="4" t="str">
        <f t="shared" si="39"/>
        <v/>
      </c>
      <c r="R349" s="4" t="str">
        <f t="shared" si="40"/>
        <v>/</v>
      </c>
      <c r="S349" s="4" t="str">
        <f t="shared" si="41"/>
        <v/>
      </c>
    </row>
    <row r="350" spans="1:19" x14ac:dyDescent="0.35">
      <c r="A350" s="54"/>
      <c r="B350" s="57"/>
      <c r="C350" s="60"/>
      <c r="D350" s="66" t="str">
        <f t="shared" si="35"/>
        <v/>
      </c>
      <c r="E350" s="64" t="str">
        <f>IF(OR(C350="",A350=""),"",IF(A350&lt;'Page de garde'!$G$7,IF(VALUE(RIGHT(C350,2))&lt;50,76,96),INDEX(EC!$C$2:$C$677,MATCH(C350,EC,0))))</f>
        <v/>
      </c>
      <c r="F350" s="33" t="str">
        <f t="shared" si="36"/>
        <v/>
      </c>
      <c r="G350" s="38"/>
      <c r="H350" s="38"/>
      <c r="I350" s="38"/>
      <c r="J350" s="36"/>
      <c r="K350" s="29"/>
      <c r="L350" s="29"/>
      <c r="M350" s="31"/>
      <c r="N350" s="40">
        <f t="shared" si="37"/>
        <v>0</v>
      </c>
      <c r="P350" s="4" t="str">
        <f t="shared" si="38"/>
        <v/>
      </c>
      <c r="Q350" s="4" t="str">
        <f t="shared" si="39"/>
        <v/>
      </c>
      <c r="R350" s="4" t="str">
        <f t="shared" si="40"/>
        <v>/</v>
      </c>
      <c r="S350" s="4" t="str">
        <f t="shared" si="41"/>
        <v/>
      </c>
    </row>
    <row r="351" spans="1:19" x14ac:dyDescent="0.35">
      <c r="A351" s="54"/>
      <c r="B351" s="57"/>
      <c r="C351" s="60"/>
      <c r="D351" s="66" t="str">
        <f t="shared" si="35"/>
        <v/>
      </c>
      <c r="E351" s="64" t="str">
        <f>IF(OR(C351="",A351=""),"",IF(A351&lt;'Page de garde'!$G$7,IF(VALUE(RIGHT(C351,2))&lt;50,76,96),INDEX(EC!$C$2:$C$677,MATCH(C351,EC,0))))</f>
        <v/>
      </c>
      <c r="F351" s="33" t="str">
        <f t="shared" si="36"/>
        <v/>
      </c>
      <c r="G351" s="38"/>
      <c r="H351" s="38"/>
      <c r="I351" s="38"/>
      <c r="J351" s="36"/>
      <c r="K351" s="29"/>
      <c r="L351" s="29"/>
      <c r="M351" s="31"/>
      <c r="N351" s="40">
        <f t="shared" si="37"/>
        <v>0</v>
      </c>
      <c r="P351" s="4" t="str">
        <f t="shared" si="38"/>
        <v/>
      </c>
      <c r="Q351" s="4" t="str">
        <f t="shared" si="39"/>
        <v/>
      </c>
      <c r="R351" s="4" t="str">
        <f t="shared" si="40"/>
        <v>/</v>
      </c>
      <c r="S351" s="4" t="str">
        <f t="shared" si="41"/>
        <v/>
      </c>
    </row>
    <row r="352" spans="1:19" x14ac:dyDescent="0.35">
      <c r="A352" s="54"/>
      <c r="B352" s="57"/>
      <c r="C352" s="60"/>
      <c r="D352" s="66" t="str">
        <f t="shared" si="35"/>
        <v/>
      </c>
      <c r="E352" s="64" t="str">
        <f>IF(OR(C352="",A352=""),"",IF(A352&lt;'Page de garde'!$G$7,IF(VALUE(RIGHT(C352,2))&lt;50,76,96),INDEX(EC!$C$2:$C$677,MATCH(C352,EC,0))))</f>
        <v/>
      </c>
      <c r="F352" s="33" t="str">
        <f t="shared" si="36"/>
        <v/>
      </c>
      <c r="G352" s="38"/>
      <c r="H352" s="38"/>
      <c r="I352" s="38"/>
      <c r="J352" s="36"/>
      <c r="K352" s="29"/>
      <c r="L352" s="29"/>
      <c r="M352" s="31"/>
      <c r="N352" s="40">
        <f t="shared" si="37"/>
        <v>0</v>
      </c>
      <c r="P352" s="4" t="str">
        <f t="shared" si="38"/>
        <v/>
      </c>
      <c r="Q352" s="4" t="str">
        <f t="shared" si="39"/>
        <v/>
      </c>
      <c r="R352" s="4" t="str">
        <f t="shared" si="40"/>
        <v>/</v>
      </c>
      <c r="S352" s="4" t="str">
        <f t="shared" si="41"/>
        <v/>
      </c>
    </row>
    <row r="353" spans="1:19" x14ac:dyDescent="0.35">
      <c r="A353" s="54"/>
      <c r="B353" s="57"/>
      <c r="C353" s="60"/>
      <c r="D353" s="66" t="str">
        <f t="shared" si="35"/>
        <v/>
      </c>
      <c r="E353" s="64" t="str">
        <f>IF(OR(C353="",A353=""),"",IF(A353&lt;'Page de garde'!$G$7,IF(VALUE(RIGHT(C353,2))&lt;50,76,96),INDEX(EC!$C$2:$C$677,MATCH(C353,EC,0))))</f>
        <v/>
      </c>
      <c r="F353" s="33" t="str">
        <f t="shared" si="36"/>
        <v/>
      </c>
      <c r="G353" s="38"/>
      <c r="H353" s="38"/>
      <c r="I353" s="38"/>
      <c r="J353" s="36"/>
      <c r="K353" s="29"/>
      <c r="L353" s="29"/>
      <c r="M353" s="31"/>
      <c r="N353" s="40">
        <f t="shared" si="37"/>
        <v>0</v>
      </c>
      <c r="P353" s="4" t="str">
        <f t="shared" si="38"/>
        <v/>
      </c>
      <c r="Q353" s="4" t="str">
        <f t="shared" si="39"/>
        <v/>
      </c>
      <c r="R353" s="4" t="str">
        <f t="shared" si="40"/>
        <v>/</v>
      </c>
      <c r="S353" s="4" t="str">
        <f t="shared" si="41"/>
        <v/>
      </c>
    </row>
    <row r="354" spans="1:19" x14ac:dyDescent="0.35">
      <c r="A354" s="54"/>
      <c r="B354" s="57"/>
      <c r="C354" s="60"/>
      <c r="D354" s="66" t="str">
        <f t="shared" si="35"/>
        <v/>
      </c>
      <c r="E354" s="64" t="str">
        <f>IF(OR(C354="",A354=""),"",IF(A354&lt;'Page de garde'!$G$7,IF(VALUE(RIGHT(C354,2))&lt;50,76,96),INDEX(EC!$C$2:$C$677,MATCH(C354,EC,0))))</f>
        <v/>
      </c>
      <c r="F354" s="33" t="str">
        <f t="shared" si="36"/>
        <v/>
      </c>
      <c r="G354" s="38"/>
      <c r="H354" s="38"/>
      <c r="I354" s="38"/>
      <c r="J354" s="36"/>
      <c r="K354" s="29"/>
      <c r="L354" s="29"/>
      <c r="M354" s="31"/>
      <c r="N354" s="40">
        <f t="shared" si="37"/>
        <v>0</v>
      </c>
      <c r="P354" s="4" t="str">
        <f t="shared" si="38"/>
        <v/>
      </c>
      <c r="Q354" s="4" t="str">
        <f t="shared" si="39"/>
        <v/>
      </c>
      <c r="R354" s="4" t="str">
        <f t="shared" si="40"/>
        <v>/</v>
      </c>
      <c r="S354" s="4" t="str">
        <f t="shared" si="41"/>
        <v/>
      </c>
    </row>
    <row r="355" spans="1:19" x14ac:dyDescent="0.35">
      <c r="A355" s="54"/>
      <c r="B355" s="57"/>
      <c r="C355" s="60"/>
      <c r="D355" s="66" t="str">
        <f t="shared" si="35"/>
        <v/>
      </c>
      <c r="E355" s="64" t="str">
        <f>IF(OR(C355="",A355=""),"",IF(A355&lt;'Page de garde'!$G$7,IF(VALUE(RIGHT(C355,2))&lt;50,76,96),INDEX(EC!$C$2:$C$677,MATCH(C355,EC,0))))</f>
        <v/>
      </c>
      <c r="F355" s="33" t="str">
        <f t="shared" si="36"/>
        <v/>
      </c>
      <c r="G355" s="38"/>
      <c r="H355" s="38"/>
      <c r="I355" s="38"/>
      <c r="J355" s="36"/>
      <c r="K355" s="29"/>
      <c r="L355" s="29"/>
      <c r="M355" s="31"/>
      <c r="N355" s="40">
        <f t="shared" si="37"/>
        <v>0</v>
      </c>
      <c r="P355" s="4" t="str">
        <f t="shared" si="38"/>
        <v/>
      </c>
      <c r="Q355" s="4" t="str">
        <f t="shared" si="39"/>
        <v/>
      </c>
      <c r="R355" s="4" t="str">
        <f t="shared" si="40"/>
        <v>/</v>
      </c>
      <c r="S355" s="4" t="str">
        <f t="shared" si="41"/>
        <v/>
      </c>
    </row>
    <row r="356" spans="1:19" x14ac:dyDescent="0.35">
      <c r="A356" s="54"/>
      <c r="B356" s="57"/>
      <c r="C356" s="60"/>
      <c r="D356" s="66" t="str">
        <f t="shared" si="35"/>
        <v/>
      </c>
      <c r="E356" s="64" t="str">
        <f>IF(OR(C356="",A356=""),"",IF(A356&lt;'Page de garde'!$G$7,IF(VALUE(RIGHT(C356,2))&lt;50,76,96),INDEX(EC!$C$2:$C$677,MATCH(C356,EC,0))))</f>
        <v/>
      </c>
      <c r="F356" s="33" t="str">
        <f t="shared" si="36"/>
        <v/>
      </c>
      <c r="G356" s="38"/>
      <c r="H356" s="38"/>
      <c r="I356" s="38"/>
      <c r="J356" s="36"/>
      <c r="K356" s="29"/>
      <c r="L356" s="29"/>
      <c r="M356" s="31"/>
      <c r="N356" s="40">
        <f t="shared" si="37"/>
        <v>0</v>
      </c>
      <c r="P356" s="4" t="str">
        <f t="shared" si="38"/>
        <v/>
      </c>
      <c r="Q356" s="4" t="str">
        <f t="shared" si="39"/>
        <v/>
      </c>
      <c r="R356" s="4" t="str">
        <f t="shared" si="40"/>
        <v>/</v>
      </c>
      <c r="S356" s="4" t="str">
        <f t="shared" si="41"/>
        <v/>
      </c>
    </row>
    <row r="357" spans="1:19" x14ac:dyDescent="0.35">
      <c r="A357" s="54"/>
      <c r="B357" s="57"/>
      <c r="C357" s="60"/>
      <c r="D357" s="66" t="str">
        <f t="shared" si="35"/>
        <v/>
      </c>
      <c r="E357" s="64" t="str">
        <f>IF(OR(C357="",A357=""),"",IF(A357&lt;'Page de garde'!$G$7,IF(VALUE(RIGHT(C357,2))&lt;50,76,96),INDEX(EC!$C$2:$C$677,MATCH(C357,EC,0))))</f>
        <v/>
      </c>
      <c r="F357" s="33" t="str">
        <f t="shared" si="36"/>
        <v/>
      </c>
      <c r="G357" s="38"/>
      <c r="H357" s="38"/>
      <c r="I357" s="38"/>
      <c r="J357" s="36"/>
      <c r="K357" s="29"/>
      <c r="L357" s="29"/>
      <c r="M357" s="31"/>
      <c r="N357" s="40">
        <f t="shared" si="37"/>
        <v>0</v>
      </c>
      <c r="P357" s="4" t="str">
        <f t="shared" si="38"/>
        <v/>
      </c>
      <c r="Q357" s="4" t="str">
        <f t="shared" si="39"/>
        <v/>
      </c>
      <c r="R357" s="4" t="str">
        <f t="shared" si="40"/>
        <v>/</v>
      </c>
      <c r="S357" s="4" t="str">
        <f t="shared" si="41"/>
        <v/>
      </c>
    </row>
    <row r="358" spans="1:19" x14ac:dyDescent="0.35">
      <c r="A358" s="54"/>
      <c r="B358" s="57"/>
      <c r="C358" s="60"/>
      <c r="D358" s="66" t="str">
        <f t="shared" si="35"/>
        <v/>
      </c>
      <c r="E358" s="64" t="str">
        <f>IF(OR(C358="",A358=""),"",IF(A358&lt;'Page de garde'!$G$7,IF(VALUE(RIGHT(C358,2))&lt;50,76,96),INDEX(EC!$C$2:$C$677,MATCH(C358,EC,0))))</f>
        <v/>
      </c>
      <c r="F358" s="33" t="str">
        <f t="shared" si="36"/>
        <v/>
      </c>
      <c r="G358" s="38"/>
      <c r="H358" s="38"/>
      <c r="I358" s="38"/>
      <c r="J358" s="36"/>
      <c r="K358" s="29"/>
      <c r="L358" s="29"/>
      <c r="M358" s="31"/>
      <c r="N358" s="40">
        <f t="shared" si="37"/>
        <v>0</v>
      </c>
      <c r="P358" s="4" t="str">
        <f t="shared" si="38"/>
        <v/>
      </c>
      <c r="Q358" s="4" t="str">
        <f t="shared" si="39"/>
        <v/>
      </c>
      <c r="R358" s="4" t="str">
        <f t="shared" si="40"/>
        <v>/</v>
      </c>
      <c r="S358" s="4" t="str">
        <f t="shared" si="41"/>
        <v/>
      </c>
    </row>
    <row r="359" spans="1:19" x14ac:dyDescent="0.35">
      <c r="A359" s="54"/>
      <c r="B359" s="57"/>
      <c r="C359" s="60"/>
      <c r="D359" s="66" t="str">
        <f t="shared" si="35"/>
        <v/>
      </c>
      <c r="E359" s="64" t="str">
        <f>IF(OR(C359="",A359=""),"",IF(A359&lt;'Page de garde'!$G$7,IF(VALUE(RIGHT(C359,2))&lt;50,76,96),INDEX(EC!$C$2:$C$677,MATCH(C359,EC,0))))</f>
        <v/>
      </c>
      <c r="F359" s="33" t="str">
        <f t="shared" si="36"/>
        <v/>
      </c>
      <c r="G359" s="38"/>
      <c r="H359" s="38"/>
      <c r="I359" s="38"/>
      <c r="J359" s="36"/>
      <c r="K359" s="29"/>
      <c r="L359" s="29"/>
      <c r="M359" s="31"/>
      <c r="N359" s="40">
        <f t="shared" si="37"/>
        <v>0</v>
      </c>
      <c r="P359" s="4" t="str">
        <f t="shared" si="38"/>
        <v/>
      </c>
      <c r="Q359" s="4" t="str">
        <f t="shared" si="39"/>
        <v/>
      </c>
      <c r="R359" s="4" t="str">
        <f t="shared" si="40"/>
        <v>/</v>
      </c>
      <c r="S359" s="4" t="str">
        <f t="shared" si="41"/>
        <v/>
      </c>
    </row>
    <row r="360" spans="1:19" x14ac:dyDescent="0.35">
      <c r="A360" s="54"/>
      <c r="B360" s="57"/>
      <c r="C360" s="60"/>
      <c r="D360" s="66" t="str">
        <f t="shared" si="35"/>
        <v/>
      </c>
      <c r="E360" s="64" t="str">
        <f>IF(OR(C360="",A360=""),"",IF(A360&lt;'Page de garde'!$G$7,IF(VALUE(RIGHT(C360,2))&lt;50,76,96),INDEX(EC!$C$2:$C$677,MATCH(C360,EC,0))))</f>
        <v/>
      </c>
      <c r="F360" s="33" t="str">
        <f t="shared" si="36"/>
        <v/>
      </c>
      <c r="G360" s="38"/>
      <c r="H360" s="38"/>
      <c r="I360" s="38"/>
      <c r="J360" s="36"/>
      <c r="K360" s="29"/>
      <c r="L360" s="29"/>
      <c r="M360" s="31"/>
      <c r="N360" s="40">
        <f t="shared" si="37"/>
        <v>0</v>
      </c>
      <c r="P360" s="4" t="str">
        <f t="shared" si="38"/>
        <v/>
      </c>
      <c r="Q360" s="4" t="str">
        <f t="shared" si="39"/>
        <v/>
      </c>
      <c r="R360" s="4" t="str">
        <f t="shared" si="40"/>
        <v>/</v>
      </c>
      <c r="S360" s="4" t="str">
        <f t="shared" si="41"/>
        <v/>
      </c>
    </row>
    <row r="361" spans="1:19" x14ac:dyDescent="0.35">
      <c r="A361" s="54"/>
      <c r="B361" s="57"/>
      <c r="C361" s="60"/>
      <c r="D361" s="66" t="str">
        <f t="shared" si="35"/>
        <v/>
      </c>
      <c r="E361" s="64" t="str">
        <f>IF(OR(C361="",A361=""),"",IF(A361&lt;'Page de garde'!$G$7,IF(VALUE(RIGHT(C361,2))&lt;50,76,96),INDEX(EC!$C$2:$C$677,MATCH(C361,EC,0))))</f>
        <v/>
      </c>
      <c r="F361" s="33" t="str">
        <f t="shared" si="36"/>
        <v/>
      </c>
      <c r="G361" s="38"/>
      <c r="H361" s="38"/>
      <c r="I361" s="38"/>
      <c r="J361" s="36"/>
      <c r="K361" s="29"/>
      <c r="L361" s="29"/>
      <c r="M361" s="31"/>
      <c r="N361" s="40">
        <f t="shared" si="37"/>
        <v>0</v>
      </c>
      <c r="P361" s="4" t="str">
        <f t="shared" si="38"/>
        <v/>
      </c>
      <c r="Q361" s="4" t="str">
        <f t="shared" si="39"/>
        <v/>
      </c>
      <c r="R361" s="4" t="str">
        <f t="shared" si="40"/>
        <v>/</v>
      </c>
      <c r="S361" s="4" t="str">
        <f t="shared" si="41"/>
        <v/>
      </c>
    </row>
    <row r="362" spans="1:19" x14ac:dyDescent="0.35">
      <c r="A362" s="54"/>
      <c r="B362" s="57"/>
      <c r="C362" s="60"/>
      <c r="D362" s="66" t="str">
        <f t="shared" si="35"/>
        <v/>
      </c>
      <c r="E362" s="64" t="str">
        <f>IF(OR(C362="",A362=""),"",IF(A362&lt;'Page de garde'!$G$7,IF(VALUE(RIGHT(C362,2))&lt;50,76,96),INDEX(EC!$C$2:$C$677,MATCH(C362,EC,0))))</f>
        <v/>
      </c>
      <c r="F362" s="33" t="str">
        <f t="shared" si="36"/>
        <v/>
      </c>
      <c r="G362" s="38"/>
      <c r="H362" s="38"/>
      <c r="I362" s="38"/>
      <c r="J362" s="36"/>
      <c r="K362" s="29"/>
      <c r="L362" s="29"/>
      <c r="M362" s="31"/>
      <c r="N362" s="40">
        <f t="shared" si="37"/>
        <v>0</v>
      </c>
      <c r="P362" s="4" t="str">
        <f t="shared" si="38"/>
        <v/>
      </c>
      <c r="Q362" s="4" t="str">
        <f t="shared" si="39"/>
        <v/>
      </c>
      <c r="R362" s="4" t="str">
        <f t="shared" si="40"/>
        <v>/</v>
      </c>
      <c r="S362" s="4" t="str">
        <f t="shared" si="41"/>
        <v/>
      </c>
    </row>
    <row r="363" spans="1:19" x14ac:dyDescent="0.35">
      <c r="A363" s="54"/>
      <c r="B363" s="57"/>
      <c r="C363" s="60"/>
      <c r="D363" s="66" t="str">
        <f t="shared" si="35"/>
        <v/>
      </c>
      <c r="E363" s="64" t="str">
        <f>IF(OR(C363="",A363=""),"",IF(A363&lt;'Page de garde'!$G$7,IF(VALUE(RIGHT(C363,2))&lt;50,76,96),INDEX(EC!$C$2:$C$677,MATCH(C363,EC,0))))</f>
        <v/>
      </c>
      <c r="F363" s="33" t="str">
        <f t="shared" si="36"/>
        <v/>
      </c>
      <c r="G363" s="38"/>
      <c r="H363" s="38"/>
      <c r="I363" s="38"/>
      <c r="J363" s="36"/>
      <c r="K363" s="29"/>
      <c r="L363" s="29"/>
      <c r="M363" s="31"/>
      <c r="N363" s="40">
        <f t="shared" si="37"/>
        <v>0</v>
      </c>
      <c r="P363" s="4" t="str">
        <f t="shared" si="38"/>
        <v/>
      </c>
      <c r="Q363" s="4" t="str">
        <f t="shared" si="39"/>
        <v/>
      </c>
      <c r="R363" s="4" t="str">
        <f t="shared" si="40"/>
        <v>/</v>
      </c>
      <c r="S363" s="4" t="str">
        <f t="shared" si="41"/>
        <v/>
      </c>
    </row>
    <row r="364" spans="1:19" x14ac:dyDescent="0.35">
      <c r="A364" s="54"/>
      <c r="B364" s="57"/>
      <c r="C364" s="60"/>
      <c r="D364" s="66" t="str">
        <f t="shared" si="35"/>
        <v/>
      </c>
      <c r="E364" s="64" t="str">
        <f>IF(OR(C364="",A364=""),"",IF(A364&lt;'Page de garde'!$G$7,IF(VALUE(RIGHT(C364,2))&lt;50,76,96),INDEX(EC!$C$2:$C$677,MATCH(C364,EC,0))))</f>
        <v/>
      </c>
      <c r="F364" s="33" t="str">
        <f t="shared" si="36"/>
        <v/>
      </c>
      <c r="G364" s="38"/>
      <c r="H364" s="38"/>
      <c r="I364" s="38"/>
      <c r="J364" s="36"/>
      <c r="K364" s="29"/>
      <c r="L364" s="29"/>
      <c r="M364" s="31"/>
      <c r="N364" s="40">
        <f t="shared" si="37"/>
        <v>0</v>
      </c>
      <c r="P364" s="4" t="str">
        <f t="shared" si="38"/>
        <v/>
      </c>
      <c r="Q364" s="4" t="str">
        <f t="shared" si="39"/>
        <v/>
      </c>
      <c r="R364" s="4" t="str">
        <f t="shared" si="40"/>
        <v>/</v>
      </c>
      <c r="S364" s="4" t="str">
        <f t="shared" si="41"/>
        <v/>
      </c>
    </row>
    <row r="365" spans="1:19" x14ac:dyDescent="0.35">
      <c r="A365" s="54"/>
      <c r="B365" s="57"/>
      <c r="C365" s="60"/>
      <c r="D365" s="66" t="str">
        <f t="shared" si="35"/>
        <v/>
      </c>
      <c r="E365" s="64" t="str">
        <f>IF(OR(C365="",A365=""),"",IF(A365&lt;'Page de garde'!$G$7,IF(VALUE(RIGHT(C365,2))&lt;50,76,96),INDEX(EC!$C$2:$C$677,MATCH(C365,EC,0))))</f>
        <v/>
      </c>
      <c r="F365" s="33" t="str">
        <f t="shared" si="36"/>
        <v/>
      </c>
      <c r="G365" s="38"/>
      <c r="H365" s="38"/>
      <c r="I365" s="38"/>
      <c r="J365" s="36"/>
      <c r="K365" s="29"/>
      <c r="L365" s="29"/>
      <c r="M365" s="31"/>
      <c r="N365" s="40">
        <f t="shared" si="37"/>
        <v>0</v>
      </c>
      <c r="P365" s="4" t="str">
        <f t="shared" si="38"/>
        <v/>
      </c>
      <c r="Q365" s="4" t="str">
        <f t="shared" si="39"/>
        <v/>
      </c>
      <c r="R365" s="4" t="str">
        <f t="shared" si="40"/>
        <v>/</v>
      </c>
      <c r="S365" s="4" t="str">
        <f t="shared" si="41"/>
        <v/>
      </c>
    </row>
    <row r="366" spans="1:19" x14ac:dyDescent="0.35">
      <c r="A366" s="54"/>
      <c r="B366" s="57"/>
      <c r="C366" s="60"/>
      <c r="D366" s="66" t="str">
        <f t="shared" si="35"/>
        <v/>
      </c>
      <c r="E366" s="64" t="str">
        <f>IF(OR(C366="",A366=""),"",IF(A366&lt;'Page de garde'!$G$7,IF(VALUE(RIGHT(C366,2))&lt;50,76,96),INDEX(EC!$C$2:$C$677,MATCH(C366,EC,0))))</f>
        <v/>
      </c>
      <c r="F366" s="33" t="str">
        <f t="shared" si="36"/>
        <v/>
      </c>
      <c r="G366" s="38"/>
      <c r="H366" s="38"/>
      <c r="I366" s="38"/>
      <c r="J366" s="36"/>
      <c r="K366" s="29"/>
      <c r="L366" s="29"/>
      <c r="M366" s="31"/>
      <c r="N366" s="40">
        <f t="shared" si="37"/>
        <v>0</v>
      </c>
      <c r="P366" s="4" t="str">
        <f t="shared" si="38"/>
        <v/>
      </c>
      <c r="Q366" s="4" t="str">
        <f t="shared" si="39"/>
        <v/>
      </c>
      <c r="R366" s="4" t="str">
        <f t="shared" si="40"/>
        <v>/</v>
      </c>
      <c r="S366" s="4" t="str">
        <f t="shared" si="41"/>
        <v/>
      </c>
    </row>
    <row r="367" spans="1:19" x14ac:dyDescent="0.35">
      <c r="A367" s="54"/>
      <c r="B367" s="57"/>
      <c r="C367" s="60"/>
      <c r="D367" s="66" t="str">
        <f t="shared" si="35"/>
        <v/>
      </c>
      <c r="E367" s="64" t="str">
        <f>IF(OR(C367="",A367=""),"",IF(A367&lt;'Page de garde'!$G$7,IF(VALUE(RIGHT(C367,2))&lt;50,76,96),INDEX(EC!$C$2:$C$677,MATCH(C367,EC,0))))</f>
        <v/>
      </c>
      <c r="F367" s="33" t="str">
        <f t="shared" si="36"/>
        <v/>
      </c>
      <c r="G367" s="38"/>
      <c r="H367" s="38"/>
      <c r="I367" s="38"/>
      <c r="J367" s="36"/>
      <c r="K367" s="29"/>
      <c r="L367" s="29"/>
      <c r="M367" s="31"/>
      <c r="N367" s="40">
        <f t="shared" si="37"/>
        <v>0</v>
      </c>
      <c r="P367" s="4" t="str">
        <f t="shared" si="38"/>
        <v/>
      </c>
      <c r="Q367" s="4" t="str">
        <f t="shared" si="39"/>
        <v/>
      </c>
      <c r="R367" s="4" t="str">
        <f t="shared" si="40"/>
        <v>/</v>
      </c>
      <c r="S367" s="4" t="str">
        <f t="shared" si="41"/>
        <v/>
      </c>
    </row>
    <row r="368" spans="1:19" x14ac:dyDescent="0.35">
      <c r="A368" s="54"/>
      <c r="B368" s="57"/>
      <c r="C368" s="60"/>
      <c r="D368" s="66" t="str">
        <f t="shared" si="35"/>
        <v/>
      </c>
      <c r="E368" s="64" t="str">
        <f>IF(OR(C368="",A368=""),"",IF(A368&lt;'Page de garde'!$G$7,IF(VALUE(RIGHT(C368,2))&lt;50,76,96),INDEX(EC!$C$2:$C$677,MATCH(C368,EC,0))))</f>
        <v/>
      </c>
      <c r="F368" s="33" t="str">
        <f t="shared" si="36"/>
        <v/>
      </c>
      <c r="G368" s="38"/>
      <c r="H368" s="38"/>
      <c r="I368" s="38"/>
      <c r="J368" s="36"/>
      <c r="K368" s="29"/>
      <c r="L368" s="29"/>
      <c r="M368" s="31"/>
      <c r="N368" s="40">
        <f t="shared" si="37"/>
        <v>0</v>
      </c>
      <c r="P368" s="4" t="str">
        <f t="shared" si="38"/>
        <v/>
      </c>
      <c r="Q368" s="4" t="str">
        <f t="shared" si="39"/>
        <v/>
      </c>
      <c r="R368" s="4" t="str">
        <f t="shared" si="40"/>
        <v>/</v>
      </c>
      <c r="S368" s="4" t="str">
        <f t="shared" si="41"/>
        <v/>
      </c>
    </row>
    <row r="369" spans="1:19" x14ac:dyDescent="0.35">
      <c r="A369" s="54"/>
      <c r="B369" s="57"/>
      <c r="C369" s="60"/>
      <c r="D369" s="66" t="str">
        <f t="shared" si="35"/>
        <v/>
      </c>
      <c r="E369" s="64" t="str">
        <f>IF(OR(C369="",A369=""),"",IF(A369&lt;'Page de garde'!$G$7,IF(VALUE(RIGHT(C369,2))&lt;50,76,96),INDEX(EC!$C$2:$C$677,MATCH(C369,EC,0))))</f>
        <v/>
      </c>
      <c r="F369" s="33" t="str">
        <f t="shared" si="36"/>
        <v/>
      </c>
      <c r="G369" s="38"/>
      <c r="H369" s="38"/>
      <c r="I369" s="38"/>
      <c r="J369" s="36"/>
      <c r="K369" s="29"/>
      <c r="L369" s="29"/>
      <c r="M369" s="31"/>
      <c r="N369" s="40">
        <f t="shared" si="37"/>
        <v>0</v>
      </c>
      <c r="P369" s="4" t="str">
        <f t="shared" si="38"/>
        <v/>
      </c>
      <c r="Q369" s="4" t="str">
        <f t="shared" si="39"/>
        <v/>
      </c>
      <c r="R369" s="4" t="str">
        <f t="shared" si="40"/>
        <v>/</v>
      </c>
      <c r="S369" s="4" t="str">
        <f t="shared" si="41"/>
        <v/>
      </c>
    </row>
    <row r="370" spans="1:19" x14ac:dyDescent="0.35">
      <c r="A370" s="54"/>
      <c r="B370" s="57"/>
      <c r="C370" s="60"/>
      <c r="D370" s="66" t="str">
        <f t="shared" si="35"/>
        <v/>
      </c>
      <c r="E370" s="64" t="str">
        <f>IF(OR(C370="",A370=""),"",IF(A370&lt;'Page de garde'!$G$7,IF(VALUE(RIGHT(C370,2))&lt;50,76,96),INDEX(EC!$C$2:$C$677,MATCH(C370,EC,0))))</f>
        <v/>
      </c>
      <c r="F370" s="33" t="str">
        <f t="shared" si="36"/>
        <v/>
      </c>
      <c r="G370" s="38"/>
      <c r="H370" s="38"/>
      <c r="I370" s="38"/>
      <c r="J370" s="36"/>
      <c r="K370" s="29"/>
      <c r="L370" s="29"/>
      <c r="M370" s="31"/>
      <c r="N370" s="40">
        <f t="shared" si="37"/>
        <v>0</v>
      </c>
      <c r="P370" s="4" t="str">
        <f t="shared" si="38"/>
        <v/>
      </c>
      <c r="Q370" s="4" t="str">
        <f t="shared" si="39"/>
        <v/>
      </c>
      <c r="R370" s="4" t="str">
        <f t="shared" si="40"/>
        <v>/</v>
      </c>
      <c r="S370" s="4" t="str">
        <f t="shared" si="41"/>
        <v/>
      </c>
    </row>
    <row r="371" spans="1:19" x14ac:dyDescent="0.35">
      <c r="A371" s="54"/>
      <c r="B371" s="57"/>
      <c r="C371" s="60"/>
      <c r="D371" s="66" t="str">
        <f t="shared" si="35"/>
        <v/>
      </c>
      <c r="E371" s="64" t="str">
        <f>IF(OR(C371="",A371=""),"",IF(A371&lt;'Page de garde'!$G$7,IF(VALUE(RIGHT(C371,2))&lt;50,76,96),INDEX(EC!$C$2:$C$677,MATCH(C371,EC,0))))</f>
        <v/>
      </c>
      <c r="F371" s="33" t="str">
        <f t="shared" si="36"/>
        <v/>
      </c>
      <c r="G371" s="38"/>
      <c r="H371" s="38"/>
      <c r="I371" s="38"/>
      <c r="J371" s="36"/>
      <c r="K371" s="29"/>
      <c r="L371" s="29"/>
      <c r="M371" s="31"/>
      <c r="N371" s="40">
        <f t="shared" si="37"/>
        <v>0</v>
      </c>
      <c r="P371" s="4" t="str">
        <f t="shared" si="38"/>
        <v/>
      </c>
      <c r="Q371" s="4" t="str">
        <f t="shared" si="39"/>
        <v/>
      </c>
      <c r="R371" s="4" t="str">
        <f t="shared" si="40"/>
        <v>/</v>
      </c>
      <c r="S371" s="4" t="str">
        <f t="shared" si="41"/>
        <v/>
      </c>
    </row>
    <row r="372" spans="1:19" x14ac:dyDescent="0.35">
      <c r="A372" s="54"/>
      <c r="B372" s="57"/>
      <c r="C372" s="60"/>
      <c r="D372" s="66" t="str">
        <f t="shared" si="35"/>
        <v/>
      </c>
      <c r="E372" s="64" t="str">
        <f>IF(OR(C372="",A372=""),"",IF(A372&lt;'Page de garde'!$G$7,IF(VALUE(RIGHT(C372,2))&lt;50,76,96),INDEX(EC!$C$2:$C$677,MATCH(C372,EC,0))))</f>
        <v/>
      </c>
      <c r="F372" s="33" t="str">
        <f t="shared" si="36"/>
        <v/>
      </c>
      <c r="G372" s="38"/>
      <c r="H372" s="38"/>
      <c r="I372" s="38"/>
      <c r="J372" s="36"/>
      <c r="K372" s="29"/>
      <c r="L372" s="29"/>
      <c r="M372" s="31"/>
      <c r="N372" s="40">
        <f t="shared" si="37"/>
        <v>0</v>
      </c>
      <c r="P372" s="4" t="str">
        <f t="shared" si="38"/>
        <v/>
      </c>
      <c r="Q372" s="4" t="str">
        <f t="shared" si="39"/>
        <v/>
      </c>
      <c r="R372" s="4" t="str">
        <f t="shared" si="40"/>
        <v>/</v>
      </c>
      <c r="S372" s="4" t="str">
        <f t="shared" si="41"/>
        <v/>
      </c>
    </row>
    <row r="373" spans="1:19" x14ac:dyDescent="0.35">
      <c r="A373" s="54"/>
      <c r="B373" s="57"/>
      <c r="C373" s="60"/>
      <c r="D373" s="66" t="str">
        <f t="shared" si="35"/>
        <v/>
      </c>
      <c r="E373" s="64" t="str">
        <f>IF(OR(C373="",A373=""),"",IF(A373&lt;'Page de garde'!$G$7,IF(VALUE(RIGHT(C373,2))&lt;50,76,96),INDEX(EC!$C$2:$C$677,MATCH(C373,EC,0))))</f>
        <v/>
      </c>
      <c r="F373" s="33" t="str">
        <f t="shared" si="36"/>
        <v/>
      </c>
      <c r="G373" s="38"/>
      <c r="H373" s="38"/>
      <c r="I373" s="38"/>
      <c r="J373" s="36"/>
      <c r="K373" s="29"/>
      <c r="L373" s="29"/>
      <c r="M373" s="31"/>
      <c r="N373" s="40">
        <f t="shared" si="37"/>
        <v>0</v>
      </c>
      <c r="P373" s="4" t="str">
        <f t="shared" si="38"/>
        <v/>
      </c>
      <c r="Q373" s="4" t="str">
        <f t="shared" si="39"/>
        <v/>
      </c>
      <c r="R373" s="4" t="str">
        <f t="shared" si="40"/>
        <v>/</v>
      </c>
      <c r="S373" s="4" t="str">
        <f t="shared" si="41"/>
        <v/>
      </c>
    </row>
    <row r="374" spans="1:19" x14ac:dyDescent="0.35">
      <c r="A374" s="54"/>
      <c r="B374" s="57"/>
      <c r="C374" s="60"/>
      <c r="D374" s="66" t="str">
        <f t="shared" si="35"/>
        <v/>
      </c>
      <c r="E374" s="64" t="str">
        <f>IF(OR(C374="",A374=""),"",IF(A374&lt;'Page de garde'!$G$7,IF(VALUE(RIGHT(C374,2))&lt;50,76,96),INDEX(EC!$C$2:$C$677,MATCH(C374,EC,0))))</f>
        <v/>
      </c>
      <c r="F374" s="33" t="str">
        <f t="shared" si="36"/>
        <v/>
      </c>
      <c r="G374" s="38"/>
      <c r="H374" s="38"/>
      <c r="I374" s="38"/>
      <c r="J374" s="36"/>
      <c r="K374" s="29"/>
      <c r="L374" s="29"/>
      <c r="M374" s="31"/>
      <c r="N374" s="40">
        <f t="shared" si="37"/>
        <v>0</v>
      </c>
      <c r="P374" s="4" t="str">
        <f t="shared" si="38"/>
        <v/>
      </c>
      <c r="Q374" s="4" t="str">
        <f t="shared" si="39"/>
        <v/>
      </c>
      <c r="R374" s="4" t="str">
        <f t="shared" si="40"/>
        <v>/</v>
      </c>
      <c r="S374" s="4" t="str">
        <f t="shared" si="41"/>
        <v/>
      </c>
    </row>
    <row r="375" spans="1:19" x14ac:dyDescent="0.35">
      <c r="A375" s="54"/>
      <c r="B375" s="57"/>
      <c r="C375" s="60"/>
      <c r="D375" s="66" t="str">
        <f t="shared" si="35"/>
        <v/>
      </c>
      <c r="E375" s="64" t="str">
        <f>IF(OR(C375="",A375=""),"",IF(A375&lt;'Page de garde'!$G$7,IF(VALUE(RIGHT(C375,2))&lt;50,76,96),INDEX(EC!$C$2:$C$677,MATCH(C375,EC,0))))</f>
        <v/>
      </c>
      <c r="F375" s="33" t="str">
        <f t="shared" si="36"/>
        <v/>
      </c>
      <c r="G375" s="38"/>
      <c r="H375" s="38"/>
      <c r="I375" s="38"/>
      <c r="J375" s="36"/>
      <c r="K375" s="29"/>
      <c r="L375" s="29"/>
      <c r="M375" s="31"/>
      <c r="N375" s="40">
        <f t="shared" si="37"/>
        <v>0</v>
      </c>
      <c r="P375" s="4" t="str">
        <f t="shared" si="38"/>
        <v/>
      </c>
      <c r="Q375" s="4" t="str">
        <f t="shared" si="39"/>
        <v/>
      </c>
      <c r="R375" s="4" t="str">
        <f t="shared" si="40"/>
        <v>/</v>
      </c>
      <c r="S375" s="4" t="str">
        <f t="shared" si="41"/>
        <v/>
      </c>
    </row>
    <row r="376" spans="1:19" x14ac:dyDescent="0.35">
      <c r="A376" s="54"/>
      <c r="B376" s="57"/>
      <c r="C376" s="60"/>
      <c r="D376" s="66" t="str">
        <f t="shared" si="35"/>
        <v/>
      </c>
      <c r="E376" s="64" t="str">
        <f>IF(OR(C376="",A376=""),"",IF(A376&lt;'Page de garde'!$G$7,IF(VALUE(RIGHT(C376,2))&lt;50,76,96),INDEX(EC!$C$2:$C$677,MATCH(C376,EC,0))))</f>
        <v/>
      </c>
      <c r="F376" s="33" t="str">
        <f t="shared" si="36"/>
        <v/>
      </c>
      <c r="G376" s="38"/>
      <c r="H376" s="38"/>
      <c r="I376" s="38"/>
      <c r="J376" s="36"/>
      <c r="K376" s="29"/>
      <c r="L376" s="29"/>
      <c r="M376" s="31"/>
      <c r="N376" s="40">
        <f t="shared" si="37"/>
        <v>0</v>
      </c>
      <c r="P376" s="4" t="str">
        <f t="shared" si="38"/>
        <v/>
      </c>
      <c r="Q376" s="4" t="str">
        <f t="shared" si="39"/>
        <v/>
      </c>
      <c r="R376" s="4" t="str">
        <f t="shared" si="40"/>
        <v>/</v>
      </c>
      <c r="S376" s="4" t="str">
        <f t="shared" si="41"/>
        <v/>
      </c>
    </row>
    <row r="377" spans="1:19" x14ac:dyDescent="0.35">
      <c r="A377" s="54"/>
      <c r="B377" s="57"/>
      <c r="C377" s="60"/>
      <c r="D377" s="66" t="str">
        <f t="shared" si="35"/>
        <v/>
      </c>
      <c r="E377" s="64" t="str">
        <f>IF(OR(C377="",A377=""),"",IF(A377&lt;'Page de garde'!$G$7,IF(VALUE(RIGHT(C377,2))&lt;50,76,96),INDEX(EC!$C$2:$C$677,MATCH(C377,EC,0))))</f>
        <v/>
      </c>
      <c r="F377" s="33" t="str">
        <f t="shared" si="36"/>
        <v/>
      </c>
      <c r="G377" s="38"/>
      <c r="H377" s="38"/>
      <c r="I377" s="38"/>
      <c r="J377" s="36"/>
      <c r="K377" s="29"/>
      <c r="L377" s="29"/>
      <c r="M377" s="31"/>
      <c r="N377" s="40">
        <f t="shared" si="37"/>
        <v>0</v>
      </c>
      <c r="P377" s="4" t="str">
        <f t="shared" si="38"/>
        <v/>
      </c>
      <c r="Q377" s="4" t="str">
        <f t="shared" si="39"/>
        <v/>
      </c>
      <c r="R377" s="4" t="str">
        <f t="shared" si="40"/>
        <v>/</v>
      </c>
      <c r="S377" s="4" t="str">
        <f t="shared" si="41"/>
        <v/>
      </c>
    </row>
    <row r="378" spans="1:19" x14ac:dyDescent="0.35">
      <c r="A378" s="54"/>
      <c r="B378" s="57"/>
      <c r="C378" s="60"/>
      <c r="D378" s="66" t="str">
        <f t="shared" si="35"/>
        <v/>
      </c>
      <c r="E378" s="64" t="str">
        <f>IF(OR(C378="",A378=""),"",IF(A378&lt;'Page de garde'!$G$7,IF(VALUE(RIGHT(C378,2))&lt;50,76,96),INDEX(EC!$C$2:$C$677,MATCH(C378,EC,0))))</f>
        <v/>
      </c>
      <c r="F378" s="33" t="str">
        <f t="shared" si="36"/>
        <v/>
      </c>
      <c r="G378" s="38"/>
      <c r="H378" s="38"/>
      <c r="I378" s="38"/>
      <c r="J378" s="36"/>
      <c r="K378" s="29"/>
      <c r="L378" s="29"/>
      <c r="M378" s="31"/>
      <c r="N378" s="40">
        <f t="shared" si="37"/>
        <v>0</v>
      </c>
      <c r="P378" s="4" t="str">
        <f t="shared" si="38"/>
        <v/>
      </c>
      <c r="Q378" s="4" t="str">
        <f t="shared" si="39"/>
        <v/>
      </c>
      <c r="R378" s="4" t="str">
        <f t="shared" si="40"/>
        <v>/</v>
      </c>
      <c r="S378" s="4" t="str">
        <f t="shared" si="41"/>
        <v/>
      </c>
    </row>
    <row r="379" spans="1:19" x14ac:dyDescent="0.35">
      <c r="A379" s="54"/>
      <c r="B379" s="57"/>
      <c r="C379" s="60"/>
      <c r="D379" s="66" t="str">
        <f t="shared" si="35"/>
        <v/>
      </c>
      <c r="E379" s="64" t="str">
        <f>IF(OR(C379="",A379=""),"",IF(A379&lt;'Page de garde'!$G$7,IF(VALUE(RIGHT(C379,2))&lt;50,76,96),INDEX(EC!$C$2:$C$677,MATCH(C379,EC,0))))</f>
        <v/>
      </c>
      <c r="F379" s="33" t="str">
        <f t="shared" si="36"/>
        <v/>
      </c>
      <c r="G379" s="38"/>
      <c r="H379" s="38"/>
      <c r="I379" s="38"/>
      <c r="J379" s="36"/>
      <c r="K379" s="29"/>
      <c r="L379" s="29"/>
      <c r="M379" s="31"/>
      <c r="N379" s="40">
        <f t="shared" si="37"/>
        <v>0</v>
      </c>
      <c r="P379" s="4" t="str">
        <f t="shared" si="38"/>
        <v/>
      </c>
      <c r="Q379" s="4" t="str">
        <f t="shared" si="39"/>
        <v/>
      </c>
      <c r="R379" s="4" t="str">
        <f t="shared" si="40"/>
        <v>/</v>
      </c>
      <c r="S379" s="4" t="str">
        <f t="shared" si="41"/>
        <v/>
      </c>
    </row>
    <row r="380" spans="1:19" x14ac:dyDescent="0.35">
      <c r="A380" s="54"/>
      <c r="B380" s="57"/>
      <c r="C380" s="60"/>
      <c r="D380" s="66" t="str">
        <f t="shared" si="35"/>
        <v/>
      </c>
      <c r="E380" s="64" t="str">
        <f>IF(OR(C380="",A380=""),"",IF(A380&lt;'Page de garde'!$G$7,IF(VALUE(RIGHT(C380,2))&lt;50,76,96),INDEX(EC!$C$2:$C$677,MATCH(C380,EC,0))))</f>
        <v/>
      </c>
      <c r="F380" s="33" t="str">
        <f t="shared" si="36"/>
        <v/>
      </c>
      <c r="G380" s="38"/>
      <c r="H380" s="38"/>
      <c r="I380" s="38"/>
      <c r="J380" s="36"/>
      <c r="K380" s="29"/>
      <c r="L380" s="29"/>
      <c r="M380" s="31"/>
      <c r="N380" s="40">
        <f t="shared" si="37"/>
        <v>0</v>
      </c>
      <c r="P380" s="4" t="str">
        <f t="shared" si="38"/>
        <v/>
      </c>
      <c r="Q380" s="4" t="str">
        <f t="shared" si="39"/>
        <v/>
      </c>
      <c r="R380" s="4" t="str">
        <f t="shared" si="40"/>
        <v>/</v>
      </c>
      <c r="S380" s="4" t="str">
        <f t="shared" si="41"/>
        <v/>
      </c>
    </row>
    <row r="381" spans="1:19" x14ac:dyDescent="0.35">
      <c r="A381" s="54"/>
      <c r="B381" s="57"/>
      <c r="C381" s="60"/>
      <c r="D381" s="66" t="str">
        <f t="shared" si="35"/>
        <v/>
      </c>
      <c r="E381" s="64" t="str">
        <f>IF(OR(C381="",A381=""),"",IF(A381&lt;'Page de garde'!$G$7,IF(VALUE(RIGHT(C381,2))&lt;50,76,96),INDEX(EC!$C$2:$C$677,MATCH(C381,EC,0))))</f>
        <v/>
      </c>
      <c r="F381" s="33" t="str">
        <f t="shared" si="36"/>
        <v/>
      </c>
      <c r="G381" s="38"/>
      <c r="H381" s="38"/>
      <c r="I381" s="38"/>
      <c r="J381" s="36"/>
      <c r="K381" s="29"/>
      <c r="L381" s="29"/>
      <c r="M381" s="31"/>
      <c r="N381" s="40">
        <f t="shared" si="37"/>
        <v>0</v>
      </c>
      <c r="P381" s="4" t="str">
        <f t="shared" si="38"/>
        <v/>
      </c>
      <c r="Q381" s="4" t="str">
        <f t="shared" si="39"/>
        <v/>
      </c>
      <c r="R381" s="4" t="str">
        <f t="shared" si="40"/>
        <v>/</v>
      </c>
      <c r="S381" s="4" t="str">
        <f t="shared" si="41"/>
        <v/>
      </c>
    </row>
    <row r="382" spans="1:19" x14ac:dyDescent="0.35">
      <c r="A382" s="54"/>
      <c r="B382" s="57"/>
      <c r="C382" s="60"/>
      <c r="D382" s="66" t="str">
        <f t="shared" si="35"/>
        <v/>
      </c>
      <c r="E382" s="64" t="str">
        <f>IF(OR(C382="",A382=""),"",IF(A382&lt;'Page de garde'!$G$7,IF(VALUE(RIGHT(C382,2))&lt;50,76,96),INDEX(EC!$C$2:$C$677,MATCH(C382,EC,0))))</f>
        <v/>
      </c>
      <c r="F382" s="33" t="str">
        <f t="shared" si="36"/>
        <v/>
      </c>
      <c r="G382" s="38"/>
      <c r="H382" s="38"/>
      <c r="I382" s="38"/>
      <c r="J382" s="36"/>
      <c r="K382" s="29"/>
      <c r="L382" s="29"/>
      <c r="M382" s="31"/>
      <c r="N382" s="40">
        <f t="shared" si="37"/>
        <v>0</v>
      </c>
      <c r="P382" s="4" t="str">
        <f t="shared" si="38"/>
        <v/>
      </c>
      <c r="Q382" s="4" t="str">
        <f t="shared" si="39"/>
        <v/>
      </c>
      <c r="R382" s="4" t="str">
        <f t="shared" si="40"/>
        <v>/</v>
      </c>
      <c r="S382" s="4" t="str">
        <f t="shared" si="41"/>
        <v/>
      </c>
    </row>
    <row r="383" spans="1:19" x14ac:dyDescent="0.35">
      <c r="A383" s="54"/>
      <c r="B383" s="57"/>
      <c r="C383" s="60"/>
      <c r="D383" s="66" t="str">
        <f t="shared" si="35"/>
        <v/>
      </c>
      <c r="E383" s="64" t="str">
        <f>IF(OR(C383="",A383=""),"",IF(A383&lt;'Page de garde'!$G$7,IF(VALUE(RIGHT(C383,2))&lt;50,76,96),INDEX(EC!$C$2:$C$677,MATCH(C383,EC,0))))</f>
        <v/>
      </c>
      <c r="F383" s="33" t="str">
        <f t="shared" si="36"/>
        <v/>
      </c>
      <c r="G383" s="38"/>
      <c r="H383" s="38"/>
      <c r="I383" s="38"/>
      <c r="J383" s="36"/>
      <c r="K383" s="29"/>
      <c r="L383" s="29"/>
      <c r="M383" s="31"/>
      <c r="N383" s="40">
        <f t="shared" si="37"/>
        <v>0</v>
      </c>
      <c r="P383" s="4" t="str">
        <f t="shared" si="38"/>
        <v/>
      </c>
      <c r="Q383" s="4" t="str">
        <f t="shared" si="39"/>
        <v/>
      </c>
      <c r="R383" s="4" t="str">
        <f t="shared" si="40"/>
        <v>/</v>
      </c>
      <c r="S383" s="4" t="str">
        <f t="shared" si="41"/>
        <v/>
      </c>
    </row>
    <row r="384" spans="1:19" x14ac:dyDescent="0.35">
      <c r="A384" s="54"/>
      <c r="B384" s="57"/>
      <c r="C384" s="60"/>
      <c r="D384" s="66" t="str">
        <f t="shared" si="35"/>
        <v/>
      </c>
      <c r="E384" s="64" t="str">
        <f>IF(OR(C384="",A384=""),"",IF(A384&lt;'Page de garde'!$G$7,IF(VALUE(RIGHT(C384,2))&lt;50,76,96),INDEX(EC!$C$2:$C$677,MATCH(C384,EC,0))))</f>
        <v/>
      </c>
      <c r="F384" s="33" t="str">
        <f t="shared" si="36"/>
        <v/>
      </c>
      <c r="G384" s="38"/>
      <c r="H384" s="38"/>
      <c r="I384" s="38"/>
      <c r="J384" s="36"/>
      <c r="K384" s="29"/>
      <c r="L384" s="29"/>
      <c r="M384" s="31"/>
      <c r="N384" s="40">
        <f t="shared" si="37"/>
        <v>0</v>
      </c>
      <c r="P384" s="4" t="str">
        <f t="shared" si="38"/>
        <v/>
      </c>
      <c r="Q384" s="4" t="str">
        <f t="shared" si="39"/>
        <v/>
      </c>
      <c r="R384" s="4" t="str">
        <f t="shared" si="40"/>
        <v>/</v>
      </c>
      <c r="S384" s="4" t="str">
        <f t="shared" si="41"/>
        <v/>
      </c>
    </row>
    <row r="385" spans="1:19" x14ac:dyDescent="0.35">
      <c r="A385" s="54"/>
      <c r="B385" s="57"/>
      <c r="C385" s="60"/>
      <c r="D385" s="66" t="str">
        <f t="shared" si="35"/>
        <v/>
      </c>
      <c r="E385" s="64" t="str">
        <f>IF(OR(C385="",A385=""),"",IF(A385&lt;'Page de garde'!$G$7,IF(VALUE(RIGHT(C385,2))&lt;50,76,96),INDEX(EC!$C$2:$C$677,MATCH(C385,EC,0))))</f>
        <v/>
      </c>
      <c r="F385" s="33" t="str">
        <f t="shared" si="36"/>
        <v/>
      </c>
      <c r="G385" s="38"/>
      <c r="H385" s="38"/>
      <c r="I385" s="38"/>
      <c r="J385" s="36"/>
      <c r="K385" s="29"/>
      <c r="L385" s="29"/>
      <c r="M385" s="31"/>
      <c r="N385" s="40">
        <f t="shared" si="37"/>
        <v>0</v>
      </c>
      <c r="P385" s="4" t="str">
        <f t="shared" si="38"/>
        <v/>
      </c>
      <c r="Q385" s="4" t="str">
        <f t="shared" si="39"/>
        <v/>
      </c>
      <c r="R385" s="4" t="str">
        <f t="shared" si="40"/>
        <v>/</v>
      </c>
      <c r="S385" s="4" t="str">
        <f t="shared" si="41"/>
        <v/>
      </c>
    </row>
    <row r="386" spans="1:19" x14ac:dyDescent="0.35">
      <c r="A386" s="54"/>
      <c r="B386" s="57"/>
      <c r="C386" s="60"/>
      <c r="D386" s="66" t="str">
        <f t="shared" si="35"/>
        <v/>
      </c>
      <c r="E386" s="64" t="str">
        <f>IF(OR(C386="",A386=""),"",IF(A386&lt;'Page de garde'!$G$7,IF(VALUE(RIGHT(C386,2))&lt;50,76,96),INDEX(EC!$C$2:$C$677,MATCH(C386,EC,0))))</f>
        <v/>
      </c>
      <c r="F386" s="33" t="str">
        <f t="shared" si="36"/>
        <v/>
      </c>
      <c r="G386" s="38"/>
      <c r="H386" s="38"/>
      <c r="I386" s="38"/>
      <c r="J386" s="36"/>
      <c r="K386" s="29"/>
      <c r="L386" s="29"/>
      <c r="M386" s="31"/>
      <c r="N386" s="40">
        <f t="shared" si="37"/>
        <v>0</v>
      </c>
      <c r="P386" s="4" t="str">
        <f t="shared" si="38"/>
        <v/>
      </c>
      <c r="Q386" s="4" t="str">
        <f t="shared" si="39"/>
        <v/>
      </c>
      <c r="R386" s="4" t="str">
        <f t="shared" si="40"/>
        <v>/</v>
      </c>
      <c r="S386" s="4" t="str">
        <f t="shared" si="41"/>
        <v/>
      </c>
    </row>
    <row r="387" spans="1:19" x14ac:dyDescent="0.35">
      <c r="A387" s="54"/>
      <c r="B387" s="57"/>
      <c r="C387" s="60"/>
      <c r="D387" s="66" t="str">
        <f t="shared" si="35"/>
        <v/>
      </c>
      <c r="E387" s="64" t="str">
        <f>IF(OR(C387="",A387=""),"",IF(A387&lt;'Page de garde'!$G$7,IF(VALUE(RIGHT(C387,2))&lt;50,76,96),INDEX(EC!$C$2:$C$677,MATCH(C387,EC,0))))</f>
        <v/>
      </c>
      <c r="F387" s="33" t="str">
        <f t="shared" si="36"/>
        <v/>
      </c>
      <c r="G387" s="38"/>
      <c r="H387" s="38"/>
      <c r="I387" s="38"/>
      <c r="J387" s="36"/>
      <c r="K387" s="29"/>
      <c r="L387" s="29"/>
      <c r="M387" s="31"/>
      <c r="N387" s="40">
        <f t="shared" si="37"/>
        <v>0</v>
      </c>
      <c r="P387" s="4" t="str">
        <f t="shared" si="38"/>
        <v/>
      </c>
      <c r="Q387" s="4" t="str">
        <f t="shared" si="39"/>
        <v/>
      </c>
      <c r="R387" s="4" t="str">
        <f t="shared" si="40"/>
        <v>/</v>
      </c>
      <c r="S387" s="4" t="str">
        <f t="shared" si="41"/>
        <v/>
      </c>
    </row>
    <row r="388" spans="1:19" x14ac:dyDescent="0.35">
      <c r="A388" s="54"/>
      <c r="B388" s="57"/>
      <c r="C388" s="60"/>
      <c r="D388" s="66" t="str">
        <f t="shared" si="35"/>
        <v/>
      </c>
      <c r="E388" s="64" t="str">
        <f>IF(OR(C388="",A388=""),"",IF(A388&lt;'Page de garde'!$G$7,IF(VALUE(RIGHT(C388,2))&lt;50,76,96),INDEX(EC!$C$2:$C$677,MATCH(C388,EC,0))))</f>
        <v/>
      </c>
      <c r="F388" s="33" t="str">
        <f t="shared" si="36"/>
        <v/>
      </c>
      <c r="G388" s="38"/>
      <c r="H388" s="38"/>
      <c r="I388" s="38"/>
      <c r="J388" s="36"/>
      <c r="K388" s="29"/>
      <c r="L388" s="29"/>
      <c r="M388" s="31"/>
      <c r="N388" s="40">
        <f t="shared" si="37"/>
        <v>0</v>
      </c>
      <c r="P388" s="4" t="str">
        <f t="shared" si="38"/>
        <v/>
      </c>
      <c r="Q388" s="4" t="str">
        <f t="shared" si="39"/>
        <v/>
      </c>
      <c r="R388" s="4" t="str">
        <f t="shared" si="40"/>
        <v>/</v>
      </c>
      <c r="S388" s="4" t="str">
        <f t="shared" si="41"/>
        <v/>
      </c>
    </row>
    <row r="389" spans="1:19" x14ac:dyDescent="0.35">
      <c r="A389" s="54"/>
      <c r="B389" s="57"/>
      <c r="C389" s="60"/>
      <c r="D389" s="66" t="str">
        <f t="shared" ref="D389:D452" si="42">IF(OR(B389="",C389=""),"",CONCATENATE(B389,"/",LEFT(C389,3),"-",RIGHT(C389,2)))</f>
        <v/>
      </c>
      <c r="E389" s="64" t="str">
        <f>IF(OR(C389="",A389=""),"",IF(A389&lt;'Page de garde'!$G$7,IF(VALUE(RIGHT(C389,2))&lt;50,76,96),INDEX(EC!$C$2:$C$677,MATCH(C389,EC,0))))</f>
        <v/>
      </c>
      <c r="F389" s="33" t="str">
        <f t="shared" ref="F389:F452" si="43">IF(C389="","",INDEX(OmEC,MATCH(C389,EC,0)))</f>
        <v/>
      </c>
      <c r="G389" s="38"/>
      <c r="H389" s="38"/>
      <c r="I389" s="38"/>
      <c r="J389" s="36"/>
      <c r="K389" s="29"/>
      <c r="L389" s="29"/>
      <c r="M389" s="31"/>
      <c r="N389" s="40">
        <f t="shared" ref="N389:N452" si="44">SUM(I389:M389)</f>
        <v>0</v>
      </c>
      <c r="P389" s="4" t="str">
        <f t="shared" ref="P389:P452" si="45">LEFT(C389,3)</f>
        <v/>
      </c>
      <c r="Q389" s="4" t="str">
        <f t="shared" si="39"/>
        <v/>
      </c>
      <c r="R389" s="4" t="str">
        <f t="shared" si="40"/>
        <v>/</v>
      </c>
      <c r="S389" s="4" t="str">
        <f t="shared" si="41"/>
        <v/>
      </c>
    </row>
    <row r="390" spans="1:19" x14ac:dyDescent="0.35">
      <c r="A390" s="54"/>
      <c r="B390" s="57"/>
      <c r="C390" s="60"/>
      <c r="D390" s="66" t="str">
        <f t="shared" si="42"/>
        <v/>
      </c>
      <c r="E390" s="64" t="str">
        <f>IF(OR(C390="",A390=""),"",IF(A390&lt;'Page de garde'!$G$7,IF(VALUE(RIGHT(C390,2))&lt;50,76,96),INDEX(EC!$C$2:$C$677,MATCH(C390,EC,0))))</f>
        <v/>
      </c>
      <c r="F390" s="33" t="str">
        <f t="shared" si="43"/>
        <v/>
      </c>
      <c r="G390" s="38"/>
      <c r="H390" s="38"/>
      <c r="I390" s="38"/>
      <c r="J390" s="36"/>
      <c r="K390" s="29"/>
      <c r="L390" s="29"/>
      <c r="M390" s="31"/>
      <c r="N390" s="40">
        <f t="shared" si="44"/>
        <v>0</v>
      </c>
      <c r="P390" s="4" t="str">
        <f t="shared" si="45"/>
        <v/>
      </c>
      <c r="Q390" s="4" t="str">
        <f t="shared" ref="Q390:Q453" si="46">IF(C390="","",IF(VALUE(RIGHT(C390,2))&lt;50,"G","B"))</f>
        <v/>
      </c>
      <c r="R390" s="4" t="str">
        <f t="shared" ref="R390:R453" si="47">CONCATENATE(D390,"/",A390)</f>
        <v>/</v>
      </c>
      <c r="S390" s="4" t="str">
        <f t="shared" ref="S390:S453" si="48">LEFT(B390,3)</f>
        <v/>
      </c>
    </row>
    <row r="391" spans="1:19" x14ac:dyDescent="0.35">
      <c r="A391" s="54"/>
      <c r="B391" s="57"/>
      <c r="C391" s="60"/>
      <c r="D391" s="66" t="str">
        <f t="shared" si="42"/>
        <v/>
      </c>
      <c r="E391" s="64" t="str">
        <f>IF(OR(C391="",A391=""),"",IF(A391&lt;'Page de garde'!$G$7,IF(VALUE(RIGHT(C391,2))&lt;50,76,96),INDEX(EC!$C$2:$C$677,MATCH(C391,EC,0))))</f>
        <v/>
      </c>
      <c r="F391" s="33" t="str">
        <f t="shared" si="43"/>
        <v/>
      </c>
      <c r="G391" s="38"/>
      <c r="H391" s="38"/>
      <c r="I391" s="38"/>
      <c r="J391" s="36"/>
      <c r="K391" s="29"/>
      <c r="L391" s="29"/>
      <c r="M391" s="31"/>
      <c r="N391" s="40">
        <f t="shared" si="44"/>
        <v>0</v>
      </c>
      <c r="P391" s="4" t="str">
        <f t="shared" si="45"/>
        <v/>
      </c>
      <c r="Q391" s="4" t="str">
        <f t="shared" si="46"/>
        <v/>
      </c>
      <c r="R391" s="4" t="str">
        <f t="shared" si="47"/>
        <v>/</v>
      </c>
      <c r="S391" s="4" t="str">
        <f t="shared" si="48"/>
        <v/>
      </c>
    </row>
    <row r="392" spans="1:19" x14ac:dyDescent="0.35">
      <c r="A392" s="54"/>
      <c r="B392" s="57"/>
      <c r="C392" s="60"/>
      <c r="D392" s="66" t="str">
        <f t="shared" si="42"/>
        <v/>
      </c>
      <c r="E392" s="64" t="str">
        <f>IF(OR(C392="",A392=""),"",IF(A392&lt;'Page de garde'!$G$7,IF(VALUE(RIGHT(C392,2))&lt;50,76,96),INDEX(EC!$C$2:$C$677,MATCH(C392,EC,0))))</f>
        <v/>
      </c>
      <c r="F392" s="33" t="str">
        <f t="shared" si="43"/>
        <v/>
      </c>
      <c r="G392" s="38"/>
      <c r="H392" s="38"/>
      <c r="I392" s="38"/>
      <c r="J392" s="36"/>
      <c r="K392" s="29"/>
      <c r="L392" s="29"/>
      <c r="M392" s="31"/>
      <c r="N392" s="40">
        <f t="shared" si="44"/>
        <v>0</v>
      </c>
      <c r="P392" s="4" t="str">
        <f t="shared" si="45"/>
        <v/>
      </c>
      <c r="Q392" s="4" t="str">
        <f t="shared" si="46"/>
        <v/>
      </c>
      <c r="R392" s="4" t="str">
        <f t="shared" si="47"/>
        <v>/</v>
      </c>
      <c r="S392" s="4" t="str">
        <f t="shared" si="48"/>
        <v/>
      </c>
    </row>
    <row r="393" spans="1:19" x14ac:dyDescent="0.35">
      <c r="A393" s="54"/>
      <c r="B393" s="57"/>
      <c r="C393" s="60"/>
      <c r="D393" s="66" t="str">
        <f t="shared" si="42"/>
        <v/>
      </c>
      <c r="E393" s="64" t="str">
        <f>IF(OR(C393="",A393=""),"",IF(A393&lt;'Page de garde'!$G$7,IF(VALUE(RIGHT(C393,2))&lt;50,76,96),INDEX(EC!$C$2:$C$677,MATCH(C393,EC,0))))</f>
        <v/>
      </c>
      <c r="F393" s="33" t="str">
        <f t="shared" si="43"/>
        <v/>
      </c>
      <c r="G393" s="38"/>
      <c r="H393" s="38"/>
      <c r="I393" s="38"/>
      <c r="J393" s="36"/>
      <c r="K393" s="29"/>
      <c r="L393" s="29"/>
      <c r="M393" s="31"/>
      <c r="N393" s="40">
        <f t="shared" si="44"/>
        <v>0</v>
      </c>
      <c r="P393" s="4" t="str">
        <f t="shared" si="45"/>
        <v/>
      </c>
      <c r="Q393" s="4" t="str">
        <f t="shared" si="46"/>
        <v/>
      </c>
      <c r="R393" s="4" t="str">
        <f t="shared" si="47"/>
        <v>/</v>
      </c>
      <c r="S393" s="4" t="str">
        <f t="shared" si="48"/>
        <v/>
      </c>
    </row>
    <row r="394" spans="1:19" x14ac:dyDescent="0.35">
      <c r="A394" s="54"/>
      <c r="B394" s="57"/>
      <c r="C394" s="60"/>
      <c r="D394" s="66" t="str">
        <f t="shared" si="42"/>
        <v/>
      </c>
      <c r="E394" s="64" t="str">
        <f>IF(OR(C394="",A394=""),"",IF(A394&lt;'Page de garde'!$G$7,IF(VALUE(RIGHT(C394,2))&lt;50,76,96),INDEX(EC!$C$2:$C$677,MATCH(C394,EC,0))))</f>
        <v/>
      </c>
      <c r="F394" s="33" t="str">
        <f t="shared" si="43"/>
        <v/>
      </c>
      <c r="G394" s="38"/>
      <c r="H394" s="38"/>
      <c r="I394" s="38"/>
      <c r="J394" s="36"/>
      <c r="K394" s="29"/>
      <c r="L394" s="29"/>
      <c r="M394" s="31"/>
      <c r="N394" s="40">
        <f t="shared" si="44"/>
        <v>0</v>
      </c>
      <c r="P394" s="4" t="str">
        <f t="shared" si="45"/>
        <v/>
      </c>
      <c r="Q394" s="4" t="str">
        <f t="shared" si="46"/>
        <v/>
      </c>
      <c r="R394" s="4" t="str">
        <f t="shared" si="47"/>
        <v>/</v>
      </c>
      <c r="S394" s="4" t="str">
        <f t="shared" si="48"/>
        <v/>
      </c>
    </row>
    <row r="395" spans="1:19" x14ac:dyDescent="0.35">
      <c r="A395" s="54"/>
      <c r="B395" s="57"/>
      <c r="C395" s="60"/>
      <c r="D395" s="66" t="str">
        <f t="shared" si="42"/>
        <v/>
      </c>
      <c r="E395" s="64" t="str">
        <f>IF(OR(C395="",A395=""),"",IF(A395&lt;'Page de garde'!$G$7,IF(VALUE(RIGHT(C395,2))&lt;50,76,96),INDEX(EC!$C$2:$C$677,MATCH(C395,EC,0))))</f>
        <v/>
      </c>
      <c r="F395" s="33" t="str">
        <f t="shared" si="43"/>
        <v/>
      </c>
      <c r="G395" s="38"/>
      <c r="H395" s="38"/>
      <c r="I395" s="38"/>
      <c r="J395" s="36"/>
      <c r="K395" s="29"/>
      <c r="L395" s="29"/>
      <c r="M395" s="31"/>
      <c r="N395" s="40">
        <f t="shared" si="44"/>
        <v>0</v>
      </c>
      <c r="P395" s="4" t="str">
        <f t="shared" si="45"/>
        <v/>
      </c>
      <c r="Q395" s="4" t="str">
        <f t="shared" si="46"/>
        <v/>
      </c>
      <c r="R395" s="4" t="str">
        <f t="shared" si="47"/>
        <v>/</v>
      </c>
      <c r="S395" s="4" t="str">
        <f t="shared" si="48"/>
        <v/>
      </c>
    </row>
    <row r="396" spans="1:19" x14ac:dyDescent="0.35">
      <c r="A396" s="54"/>
      <c r="B396" s="57"/>
      <c r="C396" s="60"/>
      <c r="D396" s="66" t="str">
        <f t="shared" si="42"/>
        <v/>
      </c>
      <c r="E396" s="64" t="str">
        <f>IF(OR(C396="",A396=""),"",IF(A396&lt;'Page de garde'!$G$7,IF(VALUE(RIGHT(C396,2))&lt;50,76,96),INDEX(EC!$C$2:$C$677,MATCH(C396,EC,0))))</f>
        <v/>
      </c>
      <c r="F396" s="33" t="str">
        <f t="shared" si="43"/>
        <v/>
      </c>
      <c r="G396" s="38"/>
      <c r="H396" s="38"/>
      <c r="I396" s="38"/>
      <c r="J396" s="36"/>
      <c r="K396" s="29"/>
      <c r="L396" s="29"/>
      <c r="M396" s="31"/>
      <c r="N396" s="40">
        <f t="shared" si="44"/>
        <v>0</v>
      </c>
      <c r="P396" s="4" t="str">
        <f t="shared" si="45"/>
        <v/>
      </c>
      <c r="Q396" s="4" t="str">
        <f t="shared" si="46"/>
        <v/>
      </c>
      <c r="R396" s="4" t="str">
        <f t="shared" si="47"/>
        <v>/</v>
      </c>
      <c r="S396" s="4" t="str">
        <f t="shared" si="48"/>
        <v/>
      </c>
    </row>
    <row r="397" spans="1:19" x14ac:dyDescent="0.35">
      <c r="A397" s="54"/>
      <c r="B397" s="57"/>
      <c r="C397" s="60"/>
      <c r="D397" s="66" t="str">
        <f t="shared" si="42"/>
        <v/>
      </c>
      <c r="E397" s="64" t="str">
        <f>IF(OR(C397="",A397=""),"",IF(A397&lt;'Page de garde'!$G$7,IF(VALUE(RIGHT(C397,2))&lt;50,76,96),INDEX(EC!$C$2:$C$677,MATCH(C397,EC,0))))</f>
        <v/>
      </c>
      <c r="F397" s="33" t="str">
        <f t="shared" si="43"/>
        <v/>
      </c>
      <c r="G397" s="38"/>
      <c r="H397" s="38"/>
      <c r="I397" s="38"/>
      <c r="J397" s="36"/>
      <c r="K397" s="29"/>
      <c r="L397" s="29"/>
      <c r="M397" s="31"/>
      <c r="N397" s="40">
        <f t="shared" si="44"/>
        <v>0</v>
      </c>
      <c r="P397" s="4" t="str">
        <f t="shared" si="45"/>
        <v/>
      </c>
      <c r="Q397" s="4" t="str">
        <f t="shared" si="46"/>
        <v/>
      </c>
      <c r="R397" s="4" t="str">
        <f t="shared" si="47"/>
        <v>/</v>
      </c>
      <c r="S397" s="4" t="str">
        <f t="shared" si="48"/>
        <v/>
      </c>
    </row>
    <row r="398" spans="1:19" x14ac:dyDescent="0.35">
      <c r="A398" s="54"/>
      <c r="B398" s="57"/>
      <c r="C398" s="60"/>
      <c r="D398" s="66" t="str">
        <f t="shared" si="42"/>
        <v/>
      </c>
      <c r="E398" s="64" t="str">
        <f>IF(OR(C398="",A398=""),"",IF(A398&lt;'Page de garde'!$G$7,IF(VALUE(RIGHT(C398,2))&lt;50,76,96),INDEX(EC!$C$2:$C$677,MATCH(C398,EC,0))))</f>
        <v/>
      </c>
      <c r="F398" s="33" t="str">
        <f t="shared" si="43"/>
        <v/>
      </c>
      <c r="G398" s="38"/>
      <c r="H398" s="38"/>
      <c r="I398" s="38"/>
      <c r="J398" s="36"/>
      <c r="K398" s="29"/>
      <c r="L398" s="29"/>
      <c r="M398" s="31"/>
      <c r="N398" s="40">
        <f t="shared" si="44"/>
        <v>0</v>
      </c>
      <c r="P398" s="4" t="str">
        <f t="shared" si="45"/>
        <v/>
      </c>
      <c r="Q398" s="4" t="str">
        <f t="shared" si="46"/>
        <v/>
      </c>
      <c r="R398" s="4" t="str">
        <f t="shared" si="47"/>
        <v>/</v>
      </c>
      <c r="S398" s="4" t="str">
        <f t="shared" si="48"/>
        <v/>
      </c>
    </row>
    <row r="399" spans="1:19" x14ac:dyDescent="0.35">
      <c r="A399" s="54"/>
      <c r="B399" s="57"/>
      <c r="C399" s="60"/>
      <c r="D399" s="66" t="str">
        <f t="shared" si="42"/>
        <v/>
      </c>
      <c r="E399" s="64" t="str">
        <f>IF(OR(C399="",A399=""),"",IF(A399&lt;'Page de garde'!$G$7,IF(VALUE(RIGHT(C399,2))&lt;50,76,96),INDEX(EC!$C$2:$C$677,MATCH(C399,EC,0))))</f>
        <v/>
      </c>
      <c r="F399" s="33" t="str">
        <f t="shared" si="43"/>
        <v/>
      </c>
      <c r="G399" s="38"/>
      <c r="H399" s="38"/>
      <c r="I399" s="38"/>
      <c r="J399" s="36"/>
      <c r="K399" s="29"/>
      <c r="L399" s="29"/>
      <c r="M399" s="31"/>
      <c r="N399" s="40">
        <f t="shared" si="44"/>
        <v>0</v>
      </c>
      <c r="P399" s="4" t="str">
        <f t="shared" si="45"/>
        <v/>
      </c>
      <c r="Q399" s="4" t="str">
        <f t="shared" si="46"/>
        <v/>
      </c>
      <c r="R399" s="4" t="str">
        <f t="shared" si="47"/>
        <v>/</v>
      </c>
      <c r="S399" s="4" t="str">
        <f t="shared" si="48"/>
        <v/>
      </c>
    </row>
    <row r="400" spans="1:19" x14ac:dyDescent="0.35">
      <c r="A400" s="54"/>
      <c r="B400" s="57"/>
      <c r="C400" s="60"/>
      <c r="D400" s="66" t="str">
        <f t="shared" si="42"/>
        <v/>
      </c>
      <c r="E400" s="64" t="str">
        <f>IF(OR(C400="",A400=""),"",IF(A400&lt;'Page de garde'!$G$7,IF(VALUE(RIGHT(C400,2))&lt;50,76,96),INDEX(EC!$C$2:$C$677,MATCH(C400,EC,0))))</f>
        <v/>
      </c>
      <c r="F400" s="33" t="str">
        <f t="shared" si="43"/>
        <v/>
      </c>
      <c r="G400" s="38"/>
      <c r="H400" s="38"/>
      <c r="I400" s="38"/>
      <c r="J400" s="36"/>
      <c r="K400" s="29"/>
      <c r="L400" s="29"/>
      <c r="M400" s="31"/>
      <c r="N400" s="40">
        <f t="shared" si="44"/>
        <v>0</v>
      </c>
      <c r="P400" s="4" t="str">
        <f t="shared" si="45"/>
        <v/>
      </c>
      <c r="Q400" s="4" t="str">
        <f t="shared" si="46"/>
        <v/>
      </c>
      <c r="R400" s="4" t="str">
        <f t="shared" si="47"/>
        <v>/</v>
      </c>
      <c r="S400" s="4" t="str">
        <f t="shared" si="48"/>
        <v/>
      </c>
    </row>
    <row r="401" spans="1:19" x14ac:dyDescent="0.35">
      <c r="A401" s="54"/>
      <c r="B401" s="57"/>
      <c r="C401" s="60"/>
      <c r="D401" s="66" t="str">
        <f t="shared" si="42"/>
        <v/>
      </c>
      <c r="E401" s="64" t="str">
        <f>IF(OR(C401="",A401=""),"",IF(A401&lt;'Page de garde'!$G$7,IF(VALUE(RIGHT(C401,2))&lt;50,76,96),INDEX(EC!$C$2:$C$677,MATCH(C401,EC,0))))</f>
        <v/>
      </c>
      <c r="F401" s="33" t="str">
        <f t="shared" si="43"/>
        <v/>
      </c>
      <c r="G401" s="38"/>
      <c r="H401" s="38"/>
      <c r="I401" s="38"/>
      <c r="J401" s="36"/>
      <c r="K401" s="29"/>
      <c r="L401" s="29"/>
      <c r="M401" s="31"/>
      <c r="N401" s="40">
        <f t="shared" si="44"/>
        <v>0</v>
      </c>
      <c r="P401" s="4" t="str">
        <f t="shared" si="45"/>
        <v/>
      </c>
      <c r="Q401" s="4" t="str">
        <f t="shared" si="46"/>
        <v/>
      </c>
      <c r="R401" s="4" t="str">
        <f t="shared" si="47"/>
        <v>/</v>
      </c>
      <c r="S401" s="4" t="str">
        <f t="shared" si="48"/>
        <v/>
      </c>
    </row>
    <row r="402" spans="1:19" x14ac:dyDescent="0.35">
      <c r="A402" s="54"/>
      <c r="B402" s="57"/>
      <c r="C402" s="60"/>
      <c r="D402" s="66" t="str">
        <f t="shared" si="42"/>
        <v/>
      </c>
      <c r="E402" s="64" t="str">
        <f>IF(OR(C402="",A402=""),"",IF(A402&lt;'Page de garde'!$G$7,IF(VALUE(RIGHT(C402,2))&lt;50,76,96),INDEX(EC!$C$2:$C$677,MATCH(C402,EC,0))))</f>
        <v/>
      </c>
      <c r="F402" s="33" t="str">
        <f t="shared" si="43"/>
        <v/>
      </c>
      <c r="G402" s="38"/>
      <c r="H402" s="38"/>
      <c r="I402" s="38"/>
      <c r="J402" s="36"/>
      <c r="K402" s="29"/>
      <c r="L402" s="29"/>
      <c r="M402" s="31"/>
      <c r="N402" s="40">
        <f t="shared" si="44"/>
        <v>0</v>
      </c>
      <c r="P402" s="4" t="str">
        <f t="shared" si="45"/>
        <v/>
      </c>
      <c r="Q402" s="4" t="str">
        <f t="shared" si="46"/>
        <v/>
      </c>
      <c r="R402" s="4" t="str">
        <f t="shared" si="47"/>
        <v>/</v>
      </c>
      <c r="S402" s="4" t="str">
        <f t="shared" si="48"/>
        <v/>
      </c>
    </row>
    <row r="403" spans="1:19" x14ac:dyDescent="0.35">
      <c r="A403" s="54"/>
      <c r="B403" s="57"/>
      <c r="C403" s="60"/>
      <c r="D403" s="66" t="str">
        <f t="shared" si="42"/>
        <v/>
      </c>
      <c r="E403" s="64" t="str">
        <f>IF(OR(C403="",A403=""),"",IF(A403&lt;'Page de garde'!$G$7,IF(VALUE(RIGHT(C403,2))&lt;50,76,96),INDEX(EC!$C$2:$C$677,MATCH(C403,EC,0))))</f>
        <v/>
      </c>
      <c r="F403" s="33" t="str">
        <f t="shared" si="43"/>
        <v/>
      </c>
      <c r="G403" s="38"/>
      <c r="H403" s="38"/>
      <c r="I403" s="38"/>
      <c r="J403" s="36"/>
      <c r="K403" s="29"/>
      <c r="L403" s="29"/>
      <c r="M403" s="31"/>
      <c r="N403" s="40">
        <f t="shared" si="44"/>
        <v>0</v>
      </c>
      <c r="P403" s="4" t="str">
        <f t="shared" si="45"/>
        <v/>
      </c>
      <c r="Q403" s="4" t="str">
        <f t="shared" si="46"/>
        <v/>
      </c>
      <c r="R403" s="4" t="str">
        <f t="shared" si="47"/>
        <v>/</v>
      </c>
      <c r="S403" s="4" t="str">
        <f t="shared" si="48"/>
        <v/>
      </c>
    </row>
    <row r="404" spans="1:19" x14ac:dyDescent="0.35">
      <c r="A404" s="54"/>
      <c r="B404" s="57"/>
      <c r="C404" s="60"/>
      <c r="D404" s="66" t="str">
        <f t="shared" si="42"/>
        <v/>
      </c>
      <c r="E404" s="64" t="str">
        <f>IF(OR(C404="",A404=""),"",IF(A404&lt;'Page de garde'!$G$7,IF(VALUE(RIGHT(C404,2))&lt;50,76,96),INDEX(EC!$C$2:$C$677,MATCH(C404,EC,0))))</f>
        <v/>
      </c>
      <c r="F404" s="33" t="str">
        <f t="shared" si="43"/>
        <v/>
      </c>
      <c r="G404" s="38"/>
      <c r="H404" s="38"/>
      <c r="I404" s="38"/>
      <c r="J404" s="36"/>
      <c r="K404" s="29"/>
      <c r="L404" s="29"/>
      <c r="M404" s="31"/>
      <c r="N404" s="40">
        <f t="shared" si="44"/>
        <v>0</v>
      </c>
      <c r="P404" s="4" t="str">
        <f t="shared" si="45"/>
        <v/>
      </c>
      <c r="Q404" s="4" t="str">
        <f t="shared" si="46"/>
        <v/>
      </c>
      <c r="R404" s="4" t="str">
        <f t="shared" si="47"/>
        <v>/</v>
      </c>
      <c r="S404" s="4" t="str">
        <f t="shared" si="48"/>
        <v/>
      </c>
    </row>
    <row r="405" spans="1:19" x14ac:dyDescent="0.35">
      <c r="A405" s="54"/>
      <c r="B405" s="57"/>
      <c r="C405" s="60"/>
      <c r="D405" s="66" t="str">
        <f t="shared" si="42"/>
        <v/>
      </c>
      <c r="E405" s="64" t="str">
        <f>IF(OR(C405="",A405=""),"",IF(A405&lt;'Page de garde'!$G$7,IF(VALUE(RIGHT(C405,2))&lt;50,76,96),INDEX(EC!$C$2:$C$677,MATCH(C405,EC,0))))</f>
        <v/>
      </c>
      <c r="F405" s="33" t="str">
        <f t="shared" si="43"/>
        <v/>
      </c>
      <c r="G405" s="38"/>
      <c r="H405" s="38"/>
      <c r="I405" s="38"/>
      <c r="J405" s="36"/>
      <c r="K405" s="29"/>
      <c r="L405" s="29"/>
      <c r="M405" s="31"/>
      <c r="N405" s="40">
        <f t="shared" si="44"/>
        <v>0</v>
      </c>
      <c r="P405" s="4" t="str">
        <f t="shared" si="45"/>
        <v/>
      </c>
      <c r="Q405" s="4" t="str">
        <f t="shared" si="46"/>
        <v/>
      </c>
      <c r="R405" s="4" t="str">
        <f t="shared" si="47"/>
        <v>/</v>
      </c>
      <c r="S405" s="4" t="str">
        <f t="shared" si="48"/>
        <v/>
      </c>
    </row>
    <row r="406" spans="1:19" x14ac:dyDescent="0.35">
      <c r="A406" s="54"/>
      <c r="B406" s="57"/>
      <c r="C406" s="60"/>
      <c r="D406" s="66" t="str">
        <f t="shared" si="42"/>
        <v/>
      </c>
      <c r="E406" s="64" t="str">
        <f>IF(OR(C406="",A406=""),"",IF(A406&lt;'Page de garde'!$G$7,IF(VALUE(RIGHT(C406,2))&lt;50,76,96),INDEX(EC!$C$2:$C$677,MATCH(C406,EC,0))))</f>
        <v/>
      </c>
      <c r="F406" s="33" t="str">
        <f t="shared" si="43"/>
        <v/>
      </c>
      <c r="G406" s="38"/>
      <c r="H406" s="38"/>
      <c r="I406" s="38"/>
      <c r="J406" s="36"/>
      <c r="K406" s="29"/>
      <c r="L406" s="29"/>
      <c r="M406" s="31"/>
      <c r="N406" s="40">
        <f t="shared" si="44"/>
        <v>0</v>
      </c>
      <c r="P406" s="4" t="str">
        <f t="shared" si="45"/>
        <v/>
      </c>
      <c r="Q406" s="4" t="str">
        <f t="shared" si="46"/>
        <v/>
      </c>
      <c r="R406" s="4" t="str">
        <f t="shared" si="47"/>
        <v>/</v>
      </c>
      <c r="S406" s="4" t="str">
        <f t="shared" si="48"/>
        <v/>
      </c>
    </row>
    <row r="407" spans="1:19" x14ac:dyDescent="0.35">
      <c r="A407" s="54"/>
      <c r="B407" s="57"/>
      <c r="C407" s="60"/>
      <c r="D407" s="66" t="str">
        <f t="shared" si="42"/>
        <v/>
      </c>
      <c r="E407" s="64" t="str">
        <f>IF(OR(C407="",A407=""),"",IF(A407&lt;'Page de garde'!$G$7,IF(VALUE(RIGHT(C407,2))&lt;50,76,96),INDEX(EC!$C$2:$C$677,MATCH(C407,EC,0))))</f>
        <v/>
      </c>
      <c r="F407" s="33" t="str">
        <f t="shared" si="43"/>
        <v/>
      </c>
      <c r="G407" s="38"/>
      <c r="H407" s="38"/>
      <c r="I407" s="38"/>
      <c r="J407" s="36"/>
      <c r="K407" s="29"/>
      <c r="L407" s="29"/>
      <c r="M407" s="31"/>
      <c r="N407" s="40">
        <f t="shared" si="44"/>
        <v>0</v>
      </c>
      <c r="P407" s="4" t="str">
        <f t="shared" si="45"/>
        <v/>
      </c>
      <c r="Q407" s="4" t="str">
        <f t="shared" si="46"/>
        <v/>
      </c>
      <c r="R407" s="4" t="str">
        <f t="shared" si="47"/>
        <v>/</v>
      </c>
      <c r="S407" s="4" t="str">
        <f t="shared" si="48"/>
        <v/>
      </c>
    </row>
    <row r="408" spans="1:19" x14ac:dyDescent="0.35">
      <c r="A408" s="54"/>
      <c r="B408" s="57"/>
      <c r="C408" s="60"/>
      <c r="D408" s="66" t="str">
        <f t="shared" si="42"/>
        <v/>
      </c>
      <c r="E408" s="64" t="str">
        <f>IF(OR(C408="",A408=""),"",IF(A408&lt;'Page de garde'!$G$7,IF(VALUE(RIGHT(C408,2))&lt;50,76,96),INDEX(EC!$C$2:$C$677,MATCH(C408,EC,0))))</f>
        <v/>
      </c>
      <c r="F408" s="33" t="str">
        <f t="shared" si="43"/>
        <v/>
      </c>
      <c r="G408" s="38"/>
      <c r="H408" s="38"/>
      <c r="I408" s="38"/>
      <c r="J408" s="36"/>
      <c r="K408" s="29"/>
      <c r="L408" s="29"/>
      <c r="M408" s="31"/>
      <c r="N408" s="40">
        <f t="shared" si="44"/>
        <v>0</v>
      </c>
      <c r="P408" s="4" t="str">
        <f t="shared" si="45"/>
        <v/>
      </c>
      <c r="Q408" s="4" t="str">
        <f t="shared" si="46"/>
        <v/>
      </c>
      <c r="R408" s="4" t="str">
        <f t="shared" si="47"/>
        <v>/</v>
      </c>
      <c r="S408" s="4" t="str">
        <f t="shared" si="48"/>
        <v/>
      </c>
    </row>
    <row r="409" spans="1:19" x14ac:dyDescent="0.35">
      <c r="A409" s="54"/>
      <c r="B409" s="57"/>
      <c r="C409" s="60"/>
      <c r="D409" s="66" t="str">
        <f t="shared" si="42"/>
        <v/>
      </c>
      <c r="E409" s="64" t="str">
        <f>IF(OR(C409="",A409=""),"",IF(A409&lt;'Page de garde'!$G$7,IF(VALUE(RIGHT(C409,2))&lt;50,76,96),INDEX(EC!$C$2:$C$677,MATCH(C409,EC,0))))</f>
        <v/>
      </c>
      <c r="F409" s="33" t="str">
        <f t="shared" si="43"/>
        <v/>
      </c>
      <c r="G409" s="38"/>
      <c r="H409" s="38"/>
      <c r="I409" s="38"/>
      <c r="J409" s="36"/>
      <c r="K409" s="29"/>
      <c r="L409" s="29"/>
      <c r="M409" s="31"/>
      <c r="N409" s="40">
        <f t="shared" si="44"/>
        <v>0</v>
      </c>
      <c r="P409" s="4" t="str">
        <f t="shared" si="45"/>
        <v/>
      </c>
      <c r="Q409" s="4" t="str">
        <f t="shared" si="46"/>
        <v/>
      </c>
      <c r="R409" s="4" t="str">
        <f t="shared" si="47"/>
        <v>/</v>
      </c>
      <c r="S409" s="4" t="str">
        <f t="shared" si="48"/>
        <v/>
      </c>
    </row>
    <row r="410" spans="1:19" x14ac:dyDescent="0.35">
      <c r="A410" s="54"/>
      <c r="B410" s="57"/>
      <c r="C410" s="60"/>
      <c r="D410" s="66" t="str">
        <f t="shared" si="42"/>
        <v/>
      </c>
      <c r="E410" s="64" t="str">
        <f>IF(OR(C410="",A410=""),"",IF(A410&lt;'Page de garde'!$G$7,IF(VALUE(RIGHT(C410,2))&lt;50,76,96),INDEX(EC!$C$2:$C$677,MATCH(C410,EC,0))))</f>
        <v/>
      </c>
      <c r="F410" s="33" t="str">
        <f t="shared" si="43"/>
        <v/>
      </c>
      <c r="G410" s="38"/>
      <c r="H410" s="38"/>
      <c r="I410" s="38"/>
      <c r="J410" s="36"/>
      <c r="K410" s="29"/>
      <c r="L410" s="29"/>
      <c r="M410" s="31"/>
      <c r="N410" s="40">
        <f t="shared" si="44"/>
        <v>0</v>
      </c>
      <c r="P410" s="4" t="str">
        <f t="shared" si="45"/>
        <v/>
      </c>
      <c r="Q410" s="4" t="str">
        <f t="shared" si="46"/>
        <v/>
      </c>
      <c r="R410" s="4" t="str">
        <f t="shared" si="47"/>
        <v>/</v>
      </c>
      <c r="S410" s="4" t="str">
        <f t="shared" si="48"/>
        <v/>
      </c>
    </row>
    <row r="411" spans="1:19" x14ac:dyDescent="0.35">
      <c r="A411" s="54"/>
      <c r="B411" s="57"/>
      <c r="C411" s="60"/>
      <c r="D411" s="66" t="str">
        <f t="shared" si="42"/>
        <v/>
      </c>
      <c r="E411" s="64" t="str">
        <f>IF(OR(C411="",A411=""),"",IF(A411&lt;'Page de garde'!$G$7,IF(VALUE(RIGHT(C411,2))&lt;50,76,96),INDEX(EC!$C$2:$C$677,MATCH(C411,EC,0))))</f>
        <v/>
      </c>
      <c r="F411" s="33" t="str">
        <f t="shared" si="43"/>
        <v/>
      </c>
      <c r="G411" s="38"/>
      <c r="H411" s="38"/>
      <c r="I411" s="38"/>
      <c r="J411" s="36"/>
      <c r="K411" s="29"/>
      <c r="L411" s="29"/>
      <c r="M411" s="31"/>
      <c r="N411" s="40">
        <f t="shared" si="44"/>
        <v>0</v>
      </c>
      <c r="P411" s="4" t="str">
        <f t="shared" si="45"/>
        <v/>
      </c>
      <c r="Q411" s="4" t="str">
        <f t="shared" si="46"/>
        <v/>
      </c>
      <c r="R411" s="4" t="str">
        <f t="shared" si="47"/>
        <v>/</v>
      </c>
      <c r="S411" s="4" t="str">
        <f t="shared" si="48"/>
        <v/>
      </c>
    </row>
    <row r="412" spans="1:19" x14ac:dyDescent="0.35">
      <c r="A412" s="54"/>
      <c r="B412" s="57"/>
      <c r="C412" s="60"/>
      <c r="D412" s="66" t="str">
        <f t="shared" si="42"/>
        <v/>
      </c>
      <c r="E412" s="64" t="str">
        <f>IF(OR(C412="",A412=""),"",IF(A412&lt;'Page de garde'!$G$7,IF(VALUE(RIGHT(C412,2))&lt;50,76,96),INDEX(EC!$C$2:$C$677,MATCH(C412,EC,0))))</f>
        <v/>
      </c>
      <c r="F412" s="33" t="str">
        <f t="shared" si="43"/>
        <v/>
      </c>
      <c r="G412" s="38"/>
      <c r="H412" s="38"/>
      <c r="I412" s="38"/>
      <c r="J412" s="36"/>
      <c r="K412" s="29"/>
      <c r="L412" s="29"/>
      <c r="M412" s="31"/>
      <c r="N412" s="40">
        <f t="shared" si="44"/>
        <v>0</v>
      </c>
      <c r="P412" s="4" t="str">
        <f t="shared" si="45"/>
        <v/>
      </c>
      <c r="Q412" s="4" t="str">
        <f t="shared" si="46"/>
        <v/>
      </c>
      <c r="R412" s="4" t="str">
        <f t="shared" si="47"/>
        <v>/</v>
      </c>
      <c r="S412" s="4" t="str">
        <f t="shared" si="48"/>
        <v/>
      </c>
    </row>
    <row r="413" spans="1:19" x14ac:dyDescent="0.35">
      <c r="A413" s="54"/>
      <c r="B413" s="57"/>
      <c r="C413" s="60"/>
      <c r="D413" s="66" t="str">
        <f t="shared" si="42"/>
        <v/>
      </c>
      <c r="E413" s="64" t="str">
        <f>IF(OR(C413="",A413=""),"",IF(A413&lt;'Page de garde'!$G$7,IF(VALUE(RIGHT(C413,2))&lt;50,76,96),INDEX(EC!$C$2:$C$677,MATCH(C413,EC,0))))</f>
        <v/>
      </c>
      <c r="F413" s="33" t="str">
        <f t="shared" si="43"/>
        <v/>
      </c>
      <c r="G413" s="38"/>
      <c r="H413" s="38"/>
      <c r="I413" s="38"/>
      <c r="J413" s="36"/>
      <c r="K413" s="29"/>
      <c r="L413" s="29"/>
      <c r="M413" s="31"/>
      <c r="N413" s="40">
        <f t="shared" si="44"/>
        <v>0</v>
      </c>
      <c r="P413" s="4" t="str">
        <f t="shared" si="45"/>
        <v/>
      </c>
      <c r="Q413" s="4" t="str">
        <f t="shared" si="46"/>
        <v/>
      </c>
      <c r="R413" s="4" t="str">
        <f t="shared" si="47"/>
        <v>/</v>
      </c>
      <c r="S413" s="4" t="str">
        <f t="shared" si="48"/>
        <v/>
      </c>
    </row>
    <row r="414" spans="1:19" x14ac:dyDescent="0.35">
      <c r="A414" s="54"/>
      <c r="B414" s="57"/>
      <c r="C414" s="60"/>
      <c r="D414" s="66" t="str">
        <f t="shared" si="42"/>
        <v/>
      </c>
      <c r="E414" s="64" t="str">
        <f>IF(OR(C414="",A414=""),"",IF(A414&lt;'Page de garde'!$G$7,IF(VALUE(RIGHT(C414,2))&lt;50,76,96),INDEX(EC!$C$2:$C$677,MATCH(C414,EC,0))))</f>
        <v/>
      </c>
      <c r="F414" s="33" t="str">
        <f t="shared" si="43"/>
        <v/>
      </c>
      <c r="G414" s="38"/>
      <c r="H414" s="38"/>
      <c r="I414" s="38"/>
      <c r="J414" s="36"/>
      <c r="K414" s="29"/>
      <c r="L414" s="29"/>
      <c r="M414" s="31"/>
      <c r="N414" s="40">
        <f t="shared" si="44"/>
        <v>0</v>
      </c>
      <c r="P414" s="4" t="str">
        <f t="shared" si="45"/>
        <v/>
      </c>
      <c r="Q414" s="4" t="str">
        <f t="shared" si="46"/>
        <v/>
      </c>
      <c r="R414" s="4" t="str">
        <f t="shared" si="47"/>
        <v>/</v>
      </c>
      <c r="S414" s="4" t="str">
        <f t="shared" si="48"/>
        <v/>
      </c>
    </row>
    <row r="415" spans="1:19" x14ac:dyDescent="0.35">
      <c r="A415" s="54"/>
      <c r="B415" s="57"/>
      <c r="C415" s="60"/>
      <c r="D415" s="66" t="str">
        <f t="shared" si="42"/>
        <v/>
      </c>
      <c r="E415" s="64" t="str">
        <f>IF(OR(C415="",A415=""),"",IF(A415&lt;'Page de garde'!$G$7,IF(VALUE(RIGHT(C415,2))&lt;50,76,96),INDEX(EC!$C$2:$C$677,MATCH(C415,EC,0))))</f>
        <v/>
      </c>
      <c r="F415" s="33" t="str">
        <f t="shared" si="43"/>
        <v/>
      </c>
      <c r="G415" s="38"/>
      <c r="H415" s="38"/>
      <c r="I415" s="38"/>
      <c r="J415" s="36"/>
      <c r="K415" s="29"/>
      <c r="L415" s="29"/>
      <c r="M415" s="31"/>
      <c r="N415" s="40">
        <f t="shared" si="44"/>
        <v>0</v>
      </c>
      <c r="P415" s="4" t="str">
        <f t="shared" si="45"/>
        <v/>
      </c>
      <c r="Q415" s="4" t="str">
        <f t="shared" si="46"/>
        <v/>
      </c>
      <c r="R415" s="4" t="str">
        <f t="shared" si="47"/>
        <v>/</v>
      </c>
      <c r="S415" s="4" t="str">
        <f t="shared" si="48"/>
        <v/>
      </c>
    </row>
    <row r="416" spans="1:19" x14ac:dyDescent="0.35">
      <c r="A416" s="54"/>
      <c r="B416" s="57"/>
      <c r="C416" s="60"/>
      <c r="D416" s="66" t="str">
        <f t="shared" si="42"/>
        <v/>
      </c>
      <c r="E416" s="64" t="str">
        <f>IF(OR(C416="",A416=""),"",IF(A416&lt;'Page de garde'!$G$7,IF(VALUE(RIGHT(C416,2))&lt;50,76,96),INDEX(EC!$C$2:$C$677,MATCH(C416,EC,0))))</f>
        <v/>
      </c>
      <c r="F416" s="33" t="str">
        <f t="shared" si="43"/>
        <v/>
      </c>
      <c r="G416" s="38"/>
      <c r="H416" s="38"/>
      <c r="I416" s="38"/>
      <c r="J416" s="36"/>
      <c r="K416" s="29"/>
      <c r="L416" s="29"/>
      <c r="M416" s="31"/>
      <c r="N416" s="40">
        <f t="shared" si="44"/>
        <v>0</v>
      </c>
      <c r="P416" s="4" t="str">
        <f t="shared" si="45"/>
        <v/>
      </c>
      <c r="Q416" s="4" t="str">
        <f t="shared" si="46"/>
        <v/>
      </c>
      <c r="R416" s="4" t="str">
        <f t="shared" si="47"/>
        <v>/</v>
      </c>
      <c r="S416" s="4" t="str">
        <f t="shared" si="48"/>
        <v/>
      </c>
    </row>
    <row r="417" spans="1:19" x14ac:dyDescent="0.35">
      <c r="A417" s="54"/>
      <c r="B417" s="57"/>
      <c r="C417" s="60"/>
      <c r="D417" s="66" t="str">
        <f t="shared" si="42"/>
        <v/>
      </c>
      <c r="E417" s="64" t="str">
        <f>IF(OR(C417="",A417=""),"",IF(A417&lt;'Page de garde'!$G$7,IF(VALUE(RIGHT(C417,2))&lt;50,76,96),INDEX(EC!$C$2:$C$677,MATCH(C417,EC,0))))</f>
        <v/>
      </c>
      <c r="F417" s="33" t="str">
        <f t="shared" si="43"/>
        <v/>
      </c>
      <c r="G417" s="38"/>
      <c r="H417" s="38"/>
      <c r="I417" s="38"/>
      <c r="J417" s="36"/>
      <c r="K417" s="29"/>
      <c r="L417" s="29"/>
      <c r="M417" s="31"/>
      <c r="N417" s="40">
        <f t="shared" si="44"/>
        <v>0</v>
      </c>
      <c r="P417" s="4" t="str">
        <f t="shared" si="45"/>
        <v/>
      </c>
      <c r="Q417" s="4" t="str">
        <f t="shared" si="46"/>
        <v/>
      </c>
      <c r="R417" s="4" t="str">
        <f t="shared" si="47"/>
        <v>/</v>
      </c>
      <c r="S417" s="4" t="str">
        <f t="shared" si="48"/>
        <v/>
      </c>
    </row>
    <row r="418" spans="1:19" x14ac:dyDescent="0.35">
      <c r="A418" s="54"/>
      <c r="B418" s="57"/>
      <c r="C418" s="60"/>
      <c r="D418" s="66" t="str">
        <f t="shared" si="42"/>
        <v/>
      </c>
      <c r="E418" s="64" t="str">
        <f>IF(OR(C418="",A418=""),"",IF(A418&lt;'Page de garde'!$G$7,IF(VALUE(RIGHT(C418,2))&lt;50,76,96),INDEX(EC!$C$2:$C$677,MATCH(C418,EC,0))))</f>
        <v/>
      </c>
      <c r="F418" s="33" t="str">
        <f t="shared" si="43"/>
        <v/>
      </c>
      <c r="G418" s="38"/>
      <c r="H418" s="38"/>
      <c r="I418" s="38"/>
      <c r="J418" s="36"/>
      <c r="K418" s="29"/>
      <c r="L418" s="29"/>
      <c r="M418" s="31"/>
      <c r="N418" s="40">
        <f t="shared" si="44"/>
        <v>0</v>
      </c>
      <c r="P418" s="4" t="str">
        <f t="shared" si="45"/>
        <v/>
      </c>
      <c r="Q418" s="4" t="str">
        <f t="shared" si="46"/>
        <v/>
      </c>
      <c r="R418" s="4" t="str">
        <f t="shared" si="47"/>
        <v>/</v>
      </c>
      <c r="S418" s="4" t="str">
        <f t="shared" si="48"/>
        <v/>
      </c>
    </row>
    <row r="419" spans="1:19" x14ac:dyDescent="0.35">
      <c r="A419" s="54"/>
      <c r="B419" s="57"/>
      <c r="C419" s="60"/>
      <c r="D419" s="66" t="str">
        <f t="shared" si="42"/>
        <v/>
      </c>
      <c r="E419" s="64" t="str">
        <f>IF(OR(C419="",A419=""),"",IF(A419&lt;'Page de garde'!$G$7,IF(VALUE(RIGHT(C419,2))&lt;50,76,96),INDEX(EC!$C$2:$C$677,MATCH(C419,EC,0))))</f>
        <v/>
      </c>
      <c r="F419" s="33" t="str">
        <f t="shared" si="43"/>
        <v/>
      </c>
      <c r="G419" s="38"/>
      <c r="H419" s="38"/>
      <c r="I419" s="38"/>
      <c r="J419" s="36"/>
      <c r="K419" s="29"/>
      <c r="L419" s="29"/>
      <c r="M419" s="31"/>
      <c r="N419" s="40">
        <f t="shared" si="44"/>
        <v>0</v>
      </c>
      <c r="P419" s="4" t="str">
        <f t="shared" si="45"/>
        <v/>
      </c>
      <c r="Q419" s="4" t="str">
        <f t="shared" si="46"/>
        <v/>
      </c>
      <c r="R419" s="4" t="str">
        <f t="shared" si="47"/>
        <v>/</v>
      </c>
      <c r="S419" s="4" t="str">
        <f t="shared" si="48"/>
        <v/>
      </c>
    </row>
    <row r="420" spans="1:19" x14ac:dyDescent="0.35">
      <c r="A420" s="54"/>
      <c r="B420" s="57"/>
      <c r="C420" s="60"/>
      <c r="D420" s="66" t="str">
        <f t="shared" si="42"/>
        <v/>
      </c>
      <c r="E420" s="64" t="str">
        <f>IF(OR(C420="",A420=""),"",IF(A420&lt;'Page de garde'!$G$7,IF(VALUE(RIGHT(C420,2))&lt;50,76,96),INDEX(EC!$C$2:$C$677,MATCH(C420,EC,0))))</f>
        <v/>
      </c>
      <c r="F420" s="33" t="str">
        <f t="shared" si="43"/>
        <v/>
      </c>
      <c r="G420" s="38"/>
      <c r="H420" s="38"/>
      <c r="I420" s="38"/>
      <c r="J420" s="36"/>
      <c r="K420" s="29"/>
      <c r="L420" s="29"/>
      <c r="M420" s="31"/>
      <c r="N420" s="40">
        <f t="shared" si="44"/>
        <v>0</v>
      </c>
      <c r="P420" s="4" t="str">
        <f t="shared" si="45"/>
        <v/>
      </c>
      <c r="Q420" s="4" t="str">
        <f t="shared" si="46"/>
        <v/>
      </c>
      <c r="R420" s="4" t="str">
        <f t="shared" si="47"/>
        <v>/</v>
      </c>
      <c r="S420" s="4" t="str">
        <f t="shared" si="48"/>
        <v/>
      </c>
    </row>
    <row r="421" spans="1:19" x14ac:dyDescent="0.35">
      <c r="A421" s="54"/>
      <c r="B421" s="57"/>
      <c r="C421" s="60"/>
      <c r="D421" s="66" t="str">
        <f t="shared" si="42"/>
        <v/>
      </c>
      <c r="E421" s="64" t="str">
        <f>IF(OR(C421="",A421=""),"",IF(A421&lt;'Page de garde'!$G$7,IF(VALUE(RIGHT(C421,2))&lt;50,76,96),INDEX(EC!$C$2:$C$677,MATCH(C421,EC,0))))</f>
        <v/>
      </c>
      <c r="F421" s="33" t="str">
        <f t="shared" si="43"/>
        <v/>
      </c>
      <c r="G421" s="38"/>
      <c r="H421" s="38"/>
      <c r="I421" s="38"/>
      <c r="J421" s="36"/>
      <c r="K421" s="29"/>
      <c r="L421" s="29"/>
      <c r="M421" s="31"/>
      <c r="N421" s="40">
        <f t="shared" si="44"/>
        <v>0</v>
      </c>
      <c r="P421" s="4" t="str">
        <f t="shared" si="45"/>
        <v/>
      </c>
      <c r="Q421" s="4" t="str">
        <f t="shared" si="46"/>
        <v/>
      </c>
      <c r="R421" s="4" t="str">
        <f t="shared" si="47"/>
        <v>/</v>
      </c>
      <c r="S421" s="4" t="str">
        <f t="shared" si="48"/>
        <v/>
      </c>
    </row>
    <row r="422" spans="1:19" x14ac:dyDescent="0.35">
      <c r="A422" s="54"/>
      <c r="B422" s="57"/>
      <c r="C422" s="60"/>
      <c r="D422" s="66" t="str">
        <f t="shared" si="42"/>
        <v/>
      </c>
      <c r="E422" s="64" t="str">
        <f>IF(OR(C422="",A422=""),"",IF(A422&lt;'Page de garde'!$G$7,IF(VALUE(RIGHT(C422,2))&lt;50,76,96),INDEX(EC!$C$2:$C$677,MATCH(C422,EC,0))))</f>
        <v/>
      </c>
      <c r="F422" s="33" t="str">
        <f t="shared" si="43"/>
        <v/>
      </c>
      <c r="G422" s="38"/>
      <c r="H422" s="38"/>
      <c r="I422" s="38"/>
      <c r="J422" s="36"/>
      <c r="K422" s="29"/>
      <c r="L422" s="29"/>
      <c r="M422" s="31"/>
      <c r="N422" s="40">
        <f t="shared" si="44"/>
        <v>0</v>
      </c>
      <c r="P422" s="4" t="str">
        <f t="shared" si="45"/>
        <v/>
      </c>
      <c r="Q422" s="4" t="str">
        <f t="shared" si="46"/>
        <v/>
      </c>
      <c r="R422" s="4" t="str">
        <f t="shared" si="47"/>
        <v>/</v>
      </c>
      <c r="S422" s="4" t="str">
        <f t="shared" si="48"/>
        <v/>
      </c>
    </row>
    <row r="423" spans="1:19" x14ac:dyDescent="0.35">
      <c r="A423" s="54"/>
      <c r="B423" s="57"/>
      <c r="C423" s="60"/>
      <c r="D423" s="66" t="str">
        <f t="shared" si="42"/>
        <v/>
      </c>
      <c r="E423" s="64" t="str">
        <f>IF(OR(C423="",A423=""),"",IF(A423&lt;'Page de garde'!$G$7,IF(VALUE(RIGHT(C423,2))&lt;50,76,96),INDEX(EC!$C$2:$C$677,MATCH(C423,EC,0))))</f>
        <v/>
      </c>
      <c r="F423" s="33" t="str">
        <f t="shared" si="43"/>
        <v/>
      </c>
      <c r="G423" s="38"/>
      <c r="H423" s="38"/>
      <c r="I423" s="38"/>
      <c r="J423" s="36"/>
      <c r="K423" s="29"/>
      <c r="L423" s="29"/>
      <c r="M423" s="31"/>
      <c r="N423" s="40">
        <f t="shared" si="44"/>
        <v>0</v>
      </c>
      <c r="P423" s="4" t="str">
        <f t="shared" si="45"/>
        <v/>
      </c>
      <c r="Q423" s="4" t="str">
        <f t="shared" si="46"/>
        <v/>
      </c>
      <c r="R423" s="4" t="str">
        <f t="shared" si="47"/>
        <v>/</v>
      </c>
      <c r="S423" s="4" t="str">
        <f t="shared" si="48"/>
        <v/>
      </c>
    </row>
    <row r="424" spans="1:19" x14ac:dyDescent="0.35">
      <c r="A424" s="54"/>
      <c r="B424" s="57"/>
      <c r="C424" s="60"/>
      <c r="D424" s="66" t="str">
        <f t="shared" si="42"/>
        <v/>
      </c>
      <c r="E424" s="64" t="str">
        <f>IF(OR(C424="",A424=""),"",IF(A424&lt;'Page de garde'!$G$7,IF(VALUE(RIGHT(C424,2))&lt;50,76,96),INDEX(EC!$C$2:$C$677,MATCH(C424,EC,0))))</f>
        <v/>
      </c>
      <c r="F424" s="33" t="str">
        <f t="shared" si="43"/>
        <v/>
      </c>
      <c r="G424" s="38"/>
      <c r="H424" s="38"/>
      <c r="I424" s="38"/>
      <c r="J424" s="36"/>
      <c r="K424" s="29"/>
      <c r="L424" s="29"/>
      <c r="M424" s="31"/>
      <c r="N424" s="40">
        <f t="shared" si="44"/>
        <v>0</v>
      </c>
      <c r="P424" s="4" t="str">
        <f t="shared" si="45"/>
        <v/>
      </c>
      <c r="Q424" s="4" t="str">
        <f t="shared" si="46"/>
        <v/>
      </c>
      <c r="R424" s="4" t="str">
        <f t="shared" si="47"/>
        <v>/</v>
      </c>
      <c r="S424" s="4" t="str">
        <f t="shared" si="48"/>
        <v/>
      </c>
    </row>
    <row r="425" spans="1:19" x14ac:dyDescent="0.35">
      <c r="A425" s="54"/>
      <c r="B425" s="57"/>
      <c r="C425" s="60"/>
      <c r="D425" s="66" t="str">
        <f t="shared" si="42"/>
        <v/>
      </c>
      <c r="E425" s="64" t="str">
        <f>IF(OR(C425="",A425=""),"",IF(A425&lt;'Page de garde'!$G$7,IF(VALUE(RIGHT(C425,2))&lt;50,76,96),INDEX(EC!$C$2:$C$677,MATCH(C425,EC,0))))</f>
        <v/>
      </c>
      <c r="F425" s="33" t="str">
        <f t="shared" si="43"/>
        <v/>
      </c>
      <c r="G425" s="38"/>
      <c r="H425" s="38"/>
      <c r="I425" s="38"/>
      <c r="J425" s="36"/>
      <c r="K425" s="29"/>
      <c r="L425" s="29"/>
      <c r="M425" s="31"/>
      <c r="N425" s="40">
        <f t="shared" si="44"/>
        <v>0</v>
      </c>
      <c r="P425" s="4" t="str">
        <f t="shared" si="45"/>
        <v/>
      </c>
      <c r="Q425" s="4" t="str">
        <f t="shared" si="46"/>
        <v/>
      </c>
      <c r="R425" s="4" t="str">
        <f t="shared" si="47"/>
        <v>/</v>
      </c>
      <c r="S425" s="4" t="str">
        <f t="shared" si="48"/>
        <v/>
      </c>
    </row>
    <row r="426" spans="1:19" x14ac:dyDescent="0.35">
      <c r="A426" s="54"/>
      <c r="B426" s="57"/>
      <c r="C426" s="60"/>
      <c r="D426" s="66" t="str">
        <f t="shared" si="42"/>
        <v/>
      </c>
      <c r="E426" s="64" t="str">
        <f>IF(OR(C426="",A426=""),"",IF(A426&lt;'Page de garde'!$G$7,IF(VALUE(RIGHT(C426,2))&lt;50,76,96),INDEX(EC!$C$2:$C$677,MATCH(C426,EC,0))))</f>
        <v/>
      </c>
      <c r="F426" s="33" t="str">
        <f t="shared" si="43"/>
        <v/>
      </c>
      <c r="G426" s="38"/>
      <c r="H426" s="38"/>
      <c r="I426" s="38"/>
      <c r="J426" s="36"/>
      <c r="K426" s="29"/>
      <c r="L426" s="29"/>
      <c r="M426" s="31"/>
      <c r="N426" s="40">
        <f t="shared" si="44"/>
        <v>0</v>
      </c>
      <c r="P426" s="4" t="str">
        <f t="shared" si="45"/>
        <v/>
      </c>
      <c r="Q426" s="4" t="str">
        <f t="shared" si="46"/>
        <v/>
      </c>
      <c r="R426" s="4" t="str">
        <f t="shared" si="47"/>
        <v>/</v>
      </c>
      <c r="S426" s="4" t="str">
        <f t="shared" si="48"/>
        <v/>
      </c>
    </row>
    <row r="427" spans="1:19" x14ac:dyDescent="0.35">
      <c r="A427" s="54"/>
      <c r="B427" s="57"/>
      <c r="C427" s="60"/>
      <c r="D427" s="66" t="str">
        <f t="shared" si="42"/>
        <v/>
      </c>
      <c r="E427" s="64" t="str">
        <f>IF(OR(C427="",A427=""),"",IF(A427&lt;'Page de garde'!$G$7,IF(VALUE(RIGHT(C427,2))&lt;50,76,96),INDEX(EC!$C$2:$C$677,MATCH(C427,EC,0))))</f>
        <v/>
      </c>
      <c r="F427" s="33" t="str">
        <f t="shared" si="43"/>
        <v/>
      </c>
      <c r="G427" s="38"/>
      <c r="H427" s="38"/>
      <c r="I427" s="38"/>
      <c r="J427" s="36"/>
      <c r="K427" s="29"/>
      <c r="L427" s="29"/>
      <c r="M427" s="31"/>
      <c r="N427" s="40">
        <f t="shared" si="44"/>
        <v>0</v>
      </c>
      <c r="P427" s="4" t="str">
        <f t="shared" si="45"/>
        <v/>
      </c>
      <c r="Q427" s="4" t="str">
        <f t="shared" si="46"/>
        <v/>
      </c>
      <c r="R427" s="4" t="str">
        <f t="shared" si="47"/>
        <v>/</v>
      </c>
      <c r="S427" s="4" t="str">
        <f t="shared" si="48"/>
        <v/>
      </c>
    </row>
    <row r="428" spans="1:19" x14ac:dyDescent="0.35">
      <c r="A428" s="54"/>
      <c r="B428" s="57"/>
      <c r="C428" s="60"/>
      <c r="D428" s="66" t="str">
        <f t="shared" si="42"/>
        <v/>
      </c>
      <c r="E428" s="64" t="str">
        <f>IF(OR(C428="",A428=""),"",IF(A428&lt;'Page de garde'!$G$7,IF(VALUE(RIGHT(C428,2))&lt;50,76,96),INDEX(EC!$C$2:$C$677,MATCH(C428,EC,0))))</f>
        <v/>
      </c>
      <c r="F428" s="33" t="str">
        <f t="shared" si="43"/>
        <v/>
      </c>
      <c r="G428" s="38"/>
      <c r="H428" s="38"/>
      <c r="I428" s="38"/>
      <c r="J428" s="36"/>
      <c r="K428" s="29"/>
      <c r="L428" s="29"/>
      <c r="M428" s="31"/>
      <c r="N428" s="40">
        <f t="shared" si="44"/>
        <v>0</v>
      </c>
      <c r="P428" s="4" t="str">
        <f t="shared" si="45"/>
        <v/>
      </c>
      <c r="Q428" s="4" t="str">
        <f t="shared" si="46"/>
        <v/>
      </c>
      <c r="R428" s="4" t="str">
        <f t="shared" si="47"/>
        <v>/</v>
      </c>
      <c r="S428" s="4" t="str">
        <f t="shared" si="48"/>
        <v/>
      </c>
    </row>
    <row r="429" spans="1:19" x14ac:dyDescent="0.35">
      <c r="A429" s="54"/>
      <c r="B429" s="57"/>
      <c r="C429" s="60"/>
      <c r="D429" s="66" t="str">
        <f t="shared" si="42"/>
        <v/>
      </c>
      <c r="E429" s="64" t="str">
        <f>IF(OR(C429="",A429=""),"",IF(A429&lt;'Page de garde'!$G$7,IF(VALUE(RIGHT(C429,2))&lt;50,76,96),INDEX(EC!$C$2:$C$677,MATCH(C429,EC,0))))</f>
        <v/>
      </c>
      <c r="F429" s="33" t="str">
        <f t="shared" si="43"/>
        <v/>
      </c>
      <c r="G429" s="38"/>
      <c r="H429" s="38"/>
      <c r="I429" s="38"/>
      <c r="J429" s="36"/>
      <c r="K429" s="29"/>
      <c r="L429" s="29"/>
      <c r="M429" s="31"/>
      <c r="N429" s="40">
        <f t="shared" si="44"/>
        <v>0</v>
      </c>
      <c r="P429" s="4" t="str">
        <f t="shared" si="45"/>
        <v/>
      </c>
      <c r="Q429" s="4" t="str">
        <f t="shared" si="46"/>
        <v/>
      </c>
      <c r="R429" s="4" t="str">
        <f t="shared" si="47"/>
        <v>/</v>
      </c>
      <c r="S429" s="4" t="str">
        <f t="shared" si="48"/>
        <v/>
      </c>
    </row>
    <row r="430" spans="1:19" x14ac:dyDescent="0.35">
      <c r="A430" s="54"/>
      <c r="B430" s="57"/>
      <c r="C430" s="60"/>
      <c r="D430" s="66" t="str">
        <f t="shared" si="42"/>
        <v/>
      </c>
      <c r="E430" s="64" t="str">
        <f>IF(OR(C430="",A430=""),"",IF(A430&lt;'Page de garde'!$G$7,IF(VALUE(RIGHT(C430,2))&lt;50,76,96),INDEX(EC!$C$2:$C$677,MATCH(C430,EC,0))))</f>
        <v/>
      </c>
      <c r="F430" s="33" t="str">
        <f t="shared" si="43"/>
        <v/>
      </c>
      <c r="G430" s="38"/>
      <c r="H430" s="38"/>
      <c r="I430" s="38"/>
      <c r="J430" s="36"/>
      <c r="K430" s="29"/>
      <c r="L430" s="29"/>
      <c r="M430" s="31"/>
      <c r="N430" s="40">
        <f t="shared" si="44"/>
        <v>0</v>
      </c>
      <c r="P430" s="4" t="str">
        <f t="shared" si="45"/>
        <v/>
      </c>
      <c r="Q430" s="4" t="str">
        <f t="shared" si="46"/>
        <v/>
      </c>
      <c r="R430" s="4" t="str">
        <f t="shared" si="47"/>
        <v>/</v>
      </c>
      <c r="S430" s="4" t="str">
        <f t="shared" si="48"/>
        <v/>
      </c>
    </row>
    <row r="431" spans="1:19" x14ac:dyDescent="0.35">
      <c r="A431" s="54"/>
      <c r="B431" s="57"/>
      <c r="C431" s="60"/>
      <c r="D431" s="66" t="str">
        <f t="shared" si="42"/>
        <v/>
      </c>
      <c r="E431" s="64" t="str">
        <f>IF(OR(C431="",A431=""),"",IF(A431&lt;'Page de garde'!$G$7,IF(VALUE(RIGHT(C431,2))&lt;50,76,96),INDEX(EC!$C$2:$C$677,MATCH(C431,EC,0))))</f>
        <v/>
      </c>
      <c r="F431" s="33" t="str">
        <f t="shared" si="43"/>
        <v/>
      </c>
      <c r="G431" s="38"/>
      <c r="H431" s="38"/>
      <c r="I431" s="38"/>
      <c r="J431" s="36"/>
      <c r="K431" s="29"/>
      <c r="L431" s="29"/>
      <c r="M431" s="31"/>
      <c r="N431" s="40">
        <f t="shared" si="44"/>
        <v>0</v>
      </c>
      <c r="P431" s="4" t="str">
        <f t="shared" si="45"/>
        <v/>
      </c>
      <c r="Q431" s="4" t="str">
        <f t="shared" si="46"/>
        <v/>
      </c>
      <c r="R431" s="4" t="str">
        <f t="shared" si="47"/>
        <v>/</v>
      </c>
      <c r="S431" s="4" t="str">
        <f t="shared" si="48"/>
        <v/>
      </c>
    </row>
    <row r="432" spans="1:19" x14ac:dyDescent="0.35">
      <c r="A432" s="54"/>
      <c r="B432" s="57"/>
      <c r="C432" s="60"/>
      <c r="D432" s="66" t="str">
        <f t="shared" si="42"/>
        <v/>
      </c>
      <c r="E432" s="64" t="str">
        <f>IF(OR(C432="",A432=""),"",IF(A432&lt;'Page de garde'!$G$7,IF(VALUE(RIGHT(C432,2))&lt;50,76,96),INDEX(EC!$C$2:$C$677,MATCH(C432,EC,0))))</f>
        <v/>
      </c>
      <c r="F432" s="33" t="str">
        <f t="shared" si="43"/>
        <v/>
      </c>
      <c r="G432" s="38"/>
      <c r="H432" s="38"/>
      <c r="I432" s="38"/>
      <c r="J432" s="36"/>
      <c r="K432" s="29"/>
      <c r="L432" s="29"/>
      <c r="M432" s="31"/>
      <c r="N432" s="40">
        <f t="shared" si="44"/>
        <v>0</v>
      </c>
      <c r="P432" s="4" t="str">
        <f t="shared" si="45"/>
        <v/>
      </c>
      <c r="Q432" s="4" t="str">
        <f t="shared" si="46"/>
        <v/>
      </c>
      <c r="R432" s="4" t="str">
        <f t="shared" si="47"/>
        <v>/</v>
      </c>
      <c r="S432" s="4" t="str">
        <f t="shared" si="48"/>
        <v/>
      </c>
    </row>
    <row r="433" spans="1:19" x14ac:dyDescent="0.35">
      <c r="A433" s="54"/>
      <c r="B433" s="57"/>
      <c r="C433" s="60"/>
      <c r="D433" s="66" t="str">
        <f t="shared" si="42"/>
        <v/>
      </c>
      <c r="E433" s="64" t="str">
        <f>IF(OR(C433="",A433=""),"",IF(A433&lt;'Page de garde'!$G$7,IF(VALUE(RIGHT(C433,2))&lt;50,76,96),INDEX(EC!$C$2:$C$677,MATCH(C433,EC,0))))</f>
        <v/>
      </c>
      <c r="F433" s="33" t="str">
        <f t="shared" si="43"/>
        <v/>
      </c>
      <c r="G433" s="38"/>
      <c r="H433" s="38"/>
      <c r="I433" s="38"/>
      <c r="J433" s="36"/>
      <c r="K433" s="29"/>
      <c r="L433" s="29"/>
      <c r="M433" s="31"/>
      <c r="N433" s="40">
        <f t="shared" si="44"/>
        <v>0</v>
      </c>
      <c r="P433" s="4" t="str">
        <f t="shared" si="45"/>
        <v/>
      </c>
      <c r="Q433" s="4" t="str">
        <f t="shared" si="46"/>
        <v/>
      </c>
      <c r="R433" s="4" t="str">
        <f t="shared" si="47"/>
        <v>/</v>
      </c>
      <c r="S433" s="4" t="str">
        <f t="shared" si="48"/>
        <v/>
      </c>
    </row>
    <row r="434" spans="1:19" x14ac:dyDescent="0.35">
      <c r="A434" s="54"/>
      <c r="B434" s="57"/>
      <c r="C434" s="60"/>
      <c r="D434" s="66" t="str">
        <f t="shared" si="42"/>
        <v/>
      </c>
      <c r="E434" s="64" t="str">
        <f>IF(OR(C434="",A434=""),"",IF(A434&lt;'Page de garde'!$G$7,IF(VALUE(RIGHT(C434,2))&lt;50,76,96),INDEX(EC!$C$2:$C$677,MATCH(C434,EC,0))))</f>
        <v/>
      </c>
      <c r="F434" s="33" t="str">
        <f t="shared" si="43"/>
        <v/>
      </c>
      <c r="G434" s="38"/>
      <c r="H434" s="38"/>
      <c r="I434" s="38"/>
      <c r="J434" s="36"/>
      <c r="K434" s="29"/>
      <c r="L434" s="29"/>
      <c r="M434" s="31"/>
      <c r="N434" s="40">
        <f t="shared" si="44"/>
        <v>0</v>
      </c>
      <c r="P434" s="4" t="str">
        <f t="shared" si="45"/>
        <v/>
      </c>
      <c r="Q434" s="4" t="str">
        <f t="shared" si="46"/>
        <v/>
      </c>
      <c r="R434" s="4" t="str">
        <f t="shared" si="47"/>
        <v>/</v>
      </c>
      <c r="S434" s="4" t="str">
        <f t="shared" si="48"/>
        <v/>
      </c>
    </row>
    <row r="435" spans="1:19" x14ac:dyDescent="0.35">
      <c r="A435" s="54"/>
      <c r="B435" s="57"/>
      <c r="C435" s="60"/>
      <c r="D435" s="66" t="str">
        <f t="shared" si="42"/>
        <v/>
      </c>
      <c r="E435" s="64" t="str">
        <f>IF(OR(C435="",A435=""),"",IF(A435&lt;'Page de garde'!$G$7,IF(VALUE(RIGHT(C435,2))&lt;50,76,96),INDEX(EC!$C$2:$C$677,MATCH(C435,EC,0))))</f>
        <v/>
      </c>
      <c r="F435" s="33" t="str">
        <f t="shared" si="43"/>
        <v/>
      </c>
      <c r="G435" s="38"/>
      <c r="H435" s="38"/>
      <c r="I435" s="38"/>
      <c r="J435" s="36"/>
      <c r="K435" s="29"/>
      <c r="L435" s="29"/>
      <c r="M435" s="31"/>
      <c r="N435" s="40">
        <f t="shared" si="44"/>
        <v>0</v>
      </c>
      <c r="P435" s="4" t="str">
        <f t="shared" si="45"/>
        <v/>
      </c>
      <c r="Q435" s="4" t="str">
        <f t="shared" si="46"/>
        <v/>
      </c>
      <c r="R435" s="4" t="str">
        <f t="shared" si="47"/>
        <v>/</v>
      </c>
      <c r="S435" s="4" t="str">
        <f t="shared" si="48"/>
        <v/>
      </c>
    </row>
    <row r="436" spans="1:19" x14ac:dyDescent="0.35">
      <c r="A436" s="54"/>
      <c r="B436" s="57"/>
      <c r="C436" s="60"/>
      <c r="D436" s="66" t="str">
        <f t="shared" si="42"/>
        <v/>
      </c>
      <c r="E436" s="64" t="str">
        <f>IF(OR(C436="",A436=""),"",IF(A436&lt;'Page de garde'!$G$7,IF(VALUE(RIGHT(C436,2))&lt;50,76,96),INDEX(EC!$C$2:$C$677,MATCH(C436,EC,0))))</f>
        <v/>
      </c>
      <c r="F436" s="33" t="str">
        <f t="shared" si="43"/>
        <v/>
      </c>
      <c r="G436" s="38"/>
      <c r="H436" s="38"/>
      <c r="I436" s="38"/>
      <c r="J436" s="36"/>
      <c r="K436" s="29"/>
      <c r="L436" s="29"/>
      <c r="M436" s="31"/>
      <c r="N436" s="40">
        <f t="shared" si="44"/>
        <v>0</v>
      </c>
      <c r="P436" s="4" t="str">
        <f t="shared" si="45"/>
        <v/>
      </c>
      <c r="Q436" s="4" t="str">
        <f t="shared" si="46"/>
        <v/>
      </c>
      <c r="R436" s="4" t="str">
        <f t="shared" si="47"/>
        <v>/</v>
      </c>
      <c r="S436" s="4" t="str">
        <f t="shared" si="48"/>
        <v/>
      </c>
    </row>
    <row r="437" spans="1:19" x14ac:dyDescent="0.35">
      <c r="A437" s="54"/>
      <c r="B437" s="57"/>
      <c r="C437" s="60"/>
      <c r="D437" s="66" t="str">
        <f t="shared" si="42"/>
        <v/>
      </c>
      <c r="E437" s="64" t="str">
        <f>IF(OR(C437="",A437=""),"",IF(A437&lt;'Page de garde'!$G$7,IF(VALUE(RIGHT(C437,2))&lt;50,76,96),INDEX(EC!$C$2:$C$677,MATCH(C437,EC,0))))</f>
        <v/>
      </c>
      <c r="F437" s="33" t="str">
        <f t="shared" si="43"/>
        <v/>
      </c>
      <c r="G437" s="38"/>
      <c r="H437" s="38"/>
      <c r="I437" s="38"/>
      <c r="J437" s="36"/>
      <c r="K437" s="29"/>
      <c r="L437" s="29"/>
      <c r="M437" s="31"/>
      <c r="N437" s="40">
        <f t="shared" si="44"/>
        <v>0</v>
      </c>
      <c r="P437" s="4" t="str">
        <f t="shared" si="45"/>
        <v/>
      </c>
      <c r="Q437" s="4" t="str">
        <f t="shared" si="46"/>
        <v/>
      </c>
      <c r="R437" s="4" t="str">
        <f t="shared" si="47"/>
        <v>/</v>
      </c>
      <c r="S437" s="4" t="str">
        <f t="shared" si="48"/>
        <v/>
      </c>
    </row>
    <row r="438" spans="1:19" x14ac:dyDescent="0.35">
      <c r="A438" s="54"/>
      <c r="B438" s="57"/>
      <c r="C438" s="60"/>
      <c r="D438" s="66" t="str">
        <f t="shared" si="42"/>
        <v/>
      </c>
      <c r="E438" s="64" t="str">
        <f>IF(OR(C438="",A438=""),"",IF(A438&lt;'Page de garde'!$G$7,IF(VALUE(RIGHT(C438,2))&lt;50,76,96),INDEX(EC!$C$2:$C$677,MATCH(C438,EC,0))))</f>
        <v/>
      </c>
      <c r="F438" s="33" t="str">
        <f t="shared" si="43"/>
        <v/>
      </c>
      <c r="G438" s="38"/>
      <c r="H438" s="38"/>
      <c r="I438" s="38"/>
      <c r="J438" s="36"/>
      <c r="K438" s="29"/>
      <c r="L438" s="29"/>
      <c r="M438" s="31"/>
      <c r="N438" s="40">
        <f t="shared" si="44"/>
        <v>0</v>
      </c>
      <c r="P438" s="4" t="str">
        <f t="shared" si="45"/>
        <v/>
      </c>
      <c r="Q438" s="4" t="str">
        <f t="shared" si="46"/>
        <v/>
      </c>
      <c r="R438" s="4" t="str">
        <f t="shared" si="47"/>
        <v>/</v>
      </c>
      <c r="S438" s="4" t="str">
        <f t="shared" si="48"/>
        <v/>
      </c>
    </row>
    <row r="439" spans="1:19" x14ac:dyDescent="0.35">
      <c r="A439" s="54"/>
      <c r="B439" s="57"/>
      <c r="C439" s="60"/>
      <c r="D439" s="66" t="str">
        <f t="shared" si="42"/>
        <v/>
      </c>
      <c r="E439" s="64" t="str">
        <f>IF(OR(C439="",A439=""),"",IF(A439&lt;'Page de garde'!$G$7,IF(VALUE(RIGHT(C439,2))&lt;50,76,96),INDEX(EC!$C$2:$C$677,MATCH(C439,EC,0))))</f>
        <v/>
      </c>
      <c r="F439" s="33" t="str">
        <f t="shared" si="43"/>
        <v/>
      </c>
      <c r="G439" s="38"/>
      <c r="H439" s="38"/>
      <c r="I439" s="38"/>
      <c r="J439" s="36"/>
      <c r="K439" s="29"/>
      <c r="L439" s="29"/>
      <c r="M439" s="31"/>
      <c r="N439" s="40">
        <f t="shared" si="44"/>
        <v>0</v>
      </c>
      <c r="P439" s="4" t="str">
        <f t="shared" si="45"/>
        <v/>
      </c>
      <c r="Q439" s="4" t="str">
        <f t="shared" si="46"/>
        <v/>
      </c>
      <c r="R439" s="4" t="str">
        <f t="shared" si="47"/>
        <v>/</v>
      </c>
      <c r="S439" s="4" t="str">
        <f t="shared" si="48"/>
        <v/>
      </c>
    </row>
    <row r="440" spans="1:19" x14ac:dyDescent="0.35">
      <c r="A440" s="54"/>
      <c r="B440" s="57"/>
      <c r="C440" s="60"/>
      <c r="D440" s="66" t="str">
        <f t="shared" si="42"/>
        <v/>
      </c>
      <c r="E440" s="64" t="str">
        <f>IF(OR(C440="",A440=""),"",IF(A440&lt;'Page de garde'!$G$7,IF(VALUE(RIGHT(C440,2))&lt;50,76,96),INDEX(EC!$C$2:$C$677,MATCH(C440,EC,0))))</f>
        <v/>
      </c>
      <c r="F440" s="33" t="str">
        <f t="shared" si="43"/>
        <v/>
      </c>
      <c r="G440" s="38"/>
      <c r="H440" s="38"/>
      <c r="I440" s="38"/>
      <c r="J440" s="36"/>
      <c r="K440" s="29"/>
      <c r="L440" s="29"/>
      <c r="M440" s="31"/>
      <c r="N440" s="40">
        <f t="shared" si="44"/>
        <v>0</v>
      </c>
      <c r="P440" s="4" t="str">
        <f t="shared" si="45"/>
        <v/>
      </c>
      <c r="Q440" s="4" t="str">
        <f t="shared" si="46"/>
        <v/>
      </c>
      <c r="R440" s="4" t="str">
        <f t="shared" si="47"/>
        <v>/</v>
      </c>
      <c r="S440" s="4" t="str">
        <f t="shared" si="48"/>
        <v/>
      </c>
    </row>
    <row r="441" spans="1:19" x14ac:dyDescent="0.35">
      <c r="A441" s="54"/>
      <c r="B441" s="57"/>
      <c r="C441" s="60"/>
      <c r="D441" s="66" t="str">
        <f t="shared" si="42"/>
        <v/>
      </c>
      <c r="E441" s="64" t="str">
        <f>IF(OR(C441="",A441=""),"",IF(A441&lt;'Page de garde'!$G$7,IF(VALUE(RIGHT(C441,2))&lt;50,76,96),INDEX(EC!$C$2:$C$677,MATCH(C441,EC,0))))</f>
        <v/>
      </c>
      <c r="F441" s="33" t="str">
        <f t="shared" si="43"/>
        <v/>
      </c>
      <c r="G441" s="38"/>
      <c r="H441" s="38"/>
      <c r="I441" s="38"/>
      <c r="J441" s="36"/>
      <c r="K441" s="29"/>
      <c r="L441" s="29"/>
      <c r="M441" s="31"/>
      <c r="N441" s="40">
        <f t="shared" si="44"/>
        <v>0</v>
      </c>
      <c r="P441" s="4" t="str">
        <f t="shared" si="45"/>
        <v/>
      </c>
      <c r="Q441" s="4" t="str">
        <f t="shared" si="46"/>
        <v/>
      </c>
      <c r="R441" s="4" t="str">
        <f t="shared" si="47"/>
        <v>/</v>
      </c>
      <c r="S441" s="4" t="str">
        <f t="shared" si="48"/>
        <v/>
      </c>
    </row>
    <row r="442" spans="1:19" x14ac:dyDescent="0.35">
      <c r="A442" s="54"/>
      <c r="B442" s="57"/>
      <c r="C442" s="60"/>
      <c r="D442" s="66" t="str">
        <f t="shared" si="42"/>
        <v/>
      </c>
      <c r="E442" s="64" t="str">
        <f>IF(OR(C442="",A442=""),"",IF(A442&lt;'Page de garde'!$G$7,IF(VALUE(RIGHT(C442,2))&lt;50,76,96),INDEX(EC!$C$2:$C$677,MATCH(C442,EC,0))))</f>
        <v/>
      </c>
      <c r="F442" s="33" t="str">
        <f t="shared" si="43"/>
        <v/>
      </c>
      <c r="G442" s="38"/>
      <c r="H442" s="38"/>
      <c r="I442" s="38"/>
      <c r="J442" s="36"/>
      <c r="K442" s="29"/>
      <c r="L442" s="29"/>
      <c r="M442" s="31"/>
      <c r="N442" s="40">
        <f t="shared" si="44"/>
        <v>0</v>
      </c>
      <c r="P442" s="4" t="str">
        <f t="shared" si="45"/>
        <v/>
      </c>
      <c r="Q442" s="4" t="str">
        <f t="shared" si="46"/>
        <v/>
      </c>
      <c r="R442" s="4" t="str">
        <f t="shared" si="47"/>
        <v>/</v>
      </c>
      <c r="S442" s="4" t="str">
        <f t="shared" si="48"/>
        <v/>
      </c>
    </row>
    <row r="443" spans="1:19" x14ac:dyDescent="0.35">
      <c r="A443" s="54"/>
      <c r="B443" s="57"/>
      <c r="C443" s="60"/>
      <c r="D443" s="66" t="str">
        <f t="shared" si="42"/>
        <v/>
      </c>
      <c r="E443" s="64" t="str">
        <f>IF(OR(C443="",A443=""),"",IF(A443&lt;'Page de garde'!$G$7,IF(VALUE(RIGHT(C443,2))&lt;50,76,96),INDEX(EC!$C$2:$C$677,MATCH(C443,EC,0))))</f>
        <v/>
      </c>
      <c r="F443" s="33" t="str">
        <f t="shared" si="43"/>
        <v/>
      </c>
      <c r="G443" s="38"/>
      <c r="H443" s="38"/>
      <c r="I443" s="38"/>
      <c r="J443" s="36"/>
      <c r="K443" s="29"/>
      <c r="L443" s="29"/>
      <c r="M443" s="31"/>
      <c r="N443" s="40">
        <f t="shared" si="44"/>
        <v>0</v>
      </c>
      <c r="P443" s="4" t="str">
        <f t="shared" si="45"/>
        <v/>
      </c>
      <c r="Q443" s="4" t="str">
        <f t="shared" si="46"/>
        <v/>
      </c>
      <c r="R443" s="4" t="str">
        <f t="shared" si="47"/>
        <v>/</v>
      </c>
      <c r="S443" s="4" t="str">
        <f t="shared" si="48"/>
        <v/>
      </c>
    </row>
    <row r="444" spans="1:19" x14ac:dyDescent="0.35">
      <c r="A444" s="54"/>
      <c r="B444" s="57"/>
      <c r="C444" s="60"/>
      <c r="D444" s="66" t="str">
        <f t="shared" si="42"/>
        <v/>
      </c>
      <c r="E444" s="64" t="str">
        <f>IF(OR(C444="",A444=""),"",IF(A444&lt;'Page de garde'!$G$7,IF(VALUE(RIGHT(C444,2))&lt;50,76,96),INDEX(EC!$C$2:$C$677,MATCH(C444,EC,0))))</f>
        <v/>
      </c>
      <c r="F444" s="33" t="str">
        <f t="shared" si="43"/>
        <v/>
      </c>
      <c r="G444" s="38"/>
      <c r="H444" s="38"/>
      <c r="I444" s="38"/>
      <c r="J444" s="36"/>
      <c r="K444" s="29"/>
      <c r="L444" s="29"/>
      <c r="M444" s="31"/>
      <c r="N444" s="40">
        <f t="shared" si="44"/>
        <v>0</v>
      </c>
      <c r="P444" s="4" t="str">
        <f t="shared" si="45"/>
        <v/>
      </c>
      <c r="Q444" s="4" t="str">
        <f t="shared" si="46"/>
        <v/>
      </c>
      <c r="R444" s="4" t="str">
        <f t="shared" si="47"/>
        <v>/</v>
      </c>
      <c r="S444" s="4" t="str">
        <f t="shared" si="48"/>
        <v/>
      </c>
    </row>
    <row r="445" spans="1:19" x14ac:dyDescent="0.35">
      <c r="A445" s="54"/>
      <c r="B445" s="57"/>
      <c r="C445" s="60"/>
      <c r="D445" s="66" t="str">
        <f t="shared" si="42"/>
        <v/>
      </c>
      <c r="E445" s="64" t="str">
        <f>IF(OR(C445="",A445=""),"",IF(A445&lt;'Page de garde'!$G$7,IF(VALUE(RIGHT(C445,2))&lt;50,76,96),INDEX(EC!$C$2:$C$677,MATCH(C445,EC,0))))</f>
        <v/>
      </c>
      <c r="F445" s="33" t="str">
        <f t="shared" si="43"/>
        <v/>
      </c>
      <c r="G445" s="38"/>
      <c r="H445" s="38"/>
      <c r="I445" s="38"/>
      <c r="J445" s="36"/>
      <c r="K445" s="29"/>
      <c r="L445" s="29"/>
      <c r="M445" s="31"/>
      <c r="N445" s="40">
        <f t="shared" si="44"/>
        <v>0</v>
      </c>
      <c r="P445" s="4" t="str">
        <f t="shared" si="45"/>
        <v/>
      </c>
      <c r="Q445" s="4" t="str">
        <f t="shared" si="46"/>
        <v/>
      </c>
      <c r="R445" s="4" t="str">
        <f t="shared" si="47"/>
        <v>/</v>
      </c>
      <c r="S445" s="4" t="str">
        <f t="shared" si="48"/>
        <v/>
      </c>
    </row>
    <row r="446" spans="1:19" x14ac:dyDescent="0.35">
      <c r="A446" s="54"/>
      <c r="B446" s="57"/>
      <c r="C446" s="60"/>
      <c r="D446" s="66" t="str">
        <f t="shared" si="42"/>
        <v/>
      </c>
      <c r="E446" s="64" t="str">
        <f>IF(OR(C446="",A446=""),"",IF(A446&lt;'Page de garde'!$G$7,IF(VALUE(RIGHT(C446,2))&lt;50,76,96),INDEX(EC!$C$2:$C$677,MATCH(C446,EC,0))))</f>
        <v/>
      </c>
      <c r="F446" s="33" t="str">
        <f t="shared" si="43"/>
        <v/>
      </c>
      <c r="G446" s="38"/>
      <c r="H446" s="38"/>
      <c r="I446" s="38"/>
      <c r="J446" s="36"/>
      <c r="K446" s="29"/>
      <c r="L446" s="29"/>
      <c r="M446" s="31"/>
      <c r="N446" s="40">
        <f t="shared" si="44"/>
        <v>0</v>
      </c>
      <c r="P446" s="4" t="str">
        <f t="shared" si="45"/>
        <v/>
      </c>
      <c r="Q446" s="4" t="str">
        <f t="shared" si="46"/>
        <v/>
      </c>
      <c r="R446" s="4" t="str">
        <f t="shared" si="47"/>
        <v>/</v>
      </c>
      <c r="S446" s="4" t="str">
        <f t="shared" si="48"/>
        <v/>
      </c>
    </row>
    <row r="447" spans="1:19" x14ac:dyDescent="0.35">
      <c r="A447" s="54"/>
      <c r="B447" s="57"/>
      <c r="C447" s="60"/>
      <c r="D447" s="66" t="str">
        <f t="shared" si="42"/>
        <v/>
      </c>
      <c r="E447" s="64" t="str">
        <f>IF(OR(C447="",A447=""),"",IF(A447&lt;'Page de garde'!$G$7,IF(VALUE(RIGHT(C447,2))&lt;50,76,96),INDEX(EC!$C$2:$C$677,MATCH(C447,EC,0))))</f>
        <v/>
      </c>
      <c r="F447" s="33" t="str">
        <f t="shared" si="43"/>
        <v/>
      </c>
      <c r="G447" s="38"/>
      <c r="H447" s="38"/>
      <c r="I447" s="38"/>
      <c r="J447" s="36"/>
      <c r="K447" s="29"/>
      <c r="L447" s="29"/>
      <c r="M447" s="31"/>
      <c r="N447" s="40">
        <f t="shared" si="44"/>
        <v>0</v>
      </c>
      <c r="P447" s="4" t="str">
        <f t="shared" si="45"/>
        <v/>
      </c>
      <c r="Q447" s="4" t="str">
        <f t="shared" si="46"/>
        <v/>
      </c>
      <c r="R447" s="4" t="str">
        <f t="shared" si="47"/>
        <v>/</v>
      </c>
      <c r="S447" s="4" t="str">
        <f t="shared" si="48"/>
        <v/>
      </c>
    </row>
    <row r="448" spans="1:19" x14ac:dyDescent="0.35">
      <c r="A448" s="54"/>
      <c r="B448" s="57"/>
      <c r="C448" s="60"/>
      <c r="D448" s="66" t="str">
        <f t="shared" si="42"/>
        <v/>
      </c>
      <c r="E448" s="64" t="str">
        <f>IF(OR(C448="",A448=""),"",IF(A448&lt;'Page de garde'!$G$7,IF(VALUE(RIGHT(C448,2))&lt;50,76,96),INDEX(EC!$C$2:$C$677,MATCH(C448,EC,0))))</f>
        <v/>
      </c>
      <c r="F448" s="33" t="str">
        <f t="shared" si="43"/>
        <v/>
      </c>
      <c r="G448" s="38"/>
      <c r="H448" s="38"/>
      <c r="I448" s="38"/>
      <c r="J448" s="36"/>
      <c r="K448" s="29"/>
      <c r="L448" s="29"/>
      <c r="M448" s="31"/>
      <c r="N448" s="40">
        <f t="shared" si="44"/>
        <v>0</v>
      </c>
      <c r="P448" s="4" t="str">
        <f t="shared" si="45"/>
        <v/>
      </c>
      <c r="Q448" s="4" t="str">
        <f t="shared" si="46"/>
        <v/>
      </c>
      <c r="R448" s="4" t="str">
        <f t="shared" si="47"/>
        <v>/</v>
      </c>
      <c r="S448" s="4" t="str">
        <f t="shared" si="48"/>
        <v/>
      </c>
    </row>
    <row r="449" spans="1:19" x14ac:dyDescent="0.35">
      <c r="A449" s="54"/>
      <c r="B449" s="57"/>
      <c r="C449" s="60"/>
      <c r="D449" s="66" t="str">
        <f t="shared" si="42"/>
        <v/>
      </c>
      <c r="E449" s="64" t="str">
        <f>IF(OR(C449="",A449=""),"",IF(A449&lt;'Page de garde'!$G$7,IF(VALUE(RIGHT(C449,2))&lt;50,76,96),INDEX(EC!$C$2:$C$677,MATCH(C449,EC,0))))</f>
        <v/>
      </c>
      <c r="F449" s="33" t="str">
        <f t="shared" si="43"/>
        <v/>
      </c>
      <c r="G449" s="38"/>
      <c r="H449" s="38"/>
      <c r="I449" s="38"/>
      <c r="J449" s="36"/>
      <c r="K449" s="29"/>
      <c r="L449" s="29"/>
      <c r="M449" s="31"/>
      <c r="N449" s="40">
        <f t="shared" si="44"/>
        <v>0</v>
      </c>
      <c r="P449" s="4" t="str">
        <f t="shared" si="45"/>
        <v/>
      </c>
      <c r="Q449" s="4" t="str">
        <f t="shared" si="46"/>
        <v/>
      </c>
      <c r="R449" s="4" t="str">
        <f t="shared" si="47"/>
        <v>/</v>
      </c>
      <c r="S449" s="4" t="str">
        <f t="shared" si="48"/>
        <v/>
      </c>
    </row>
    <row r="450" spans="1:19" x14ac:dyDescent="0.35">
      <c r="A450" s="54"/>
      <c r="B450" s="57"/>
      <c r="C450" s="60"/>
      <c r="D450" s="66" t="str">
        <f t="shared" si="42"/>
        <v/>
      </c>
      <c r="E450" s="64" t="str">
        <f>IF(OR(C450="",A450=""),"",IF(A450&lt;'Page de garde'!$G$7,IF(VALUE(RIGHT(C450,2))&lt;50,76,96),INDEX(EC!$C$2:$C$677,MATCH(C450,EC,0))))</f>
        <v/>
      </c>
      <c r="F450" s="33" t="str">
        <f t="shared" si="43"/>
        <v/>
      </c>
      <c r="G450" s="38"/>
      <c r="H450" s="38"/>
      <c r="I450" s="38"/>
      <c r="J450" s="36"/>
      <c r="K450" s="29"/>
      <c r="L450" s="29"/>
      <c r="M450" s="31"/>
      <c r="N450" s="40">
        <f t="shared" si="44"/>
        <v>0</v>
      </c>
      <c r="P450" s="4" t="str">
        <f t="shared" si="45"/>
        <v/>
      </c>
      <c r="Q450" s="4" t="str">
        <f t="shared" si="46"/>
        <v/>
      </c>
      <c r="R450" s="4" t="str">
        <f t="shared" si="47"/>
        <v>/</v>
      </c>
      <c r="S450" s="4" t="str">
        <f t="shared" si="48"/>
        <v/>
      </c>
    </row>
    <row r="451" spans="1:19" x14ac:dyDescent="0.35">
      <c r="A451" s="54"/>
      <c r="B451" s="57"/>
      <c r="C451" s="60"/>
      <c r="D451" s="66" t="str">
        <f t="shared" si="42"/>
        <v/>
      </c>
      <c r="E451" s="64" t="str">
        <f>IF(OR(C451="",A451=""),"",IF(A451&lt;'Page de garde'!$G$7,IF(VALUE(RIGHT(C451,2))&lt;50,76,96),INDEX(EC!$C$2:$C$677,MATCH(C451,EC,0))))</f>
        <v/>
      </c>
      <c r="F451" s="33" t="str">
        <f t="shared" si="43"/>
        <v/>
      </c>
      <c r="G451" s="38"/>
      <c r="H451" s="38"/>
      <c r="I451" s="38"/>
      <c r="J451" s="36"/>
      <c r="K451" s="29"/>
      <c r="L451" s="29"/>
      <c r="M451" s="31"/>
      <c r="N451" s="40">
        <f t="shared" si="44"/>
        <v>0</v>
      </c>
      <c r="P451" s="4" t="str">
        <f t="shared" si="45"/>
        <v/>
      </c>
      <c r="Q451" s="4" t="str">
        <f t="shared" si="46"/>
        <v/>
      </c>
      <c r="R451" s="4" t="str">
        <f t="shared" si="47"/>
        <v>/</v>
      </c>
      <c r="S451" s="4" t="str">
        <f t="shared" si="48"/>
        <v/>
      </c>
    </row>
    <row r="452" spans="1:19" x14ac:dyDescent="0.35">
      <c r="A452" s="54"/>
      <c r="B452" s="57"/>
      <c r="C452" s="60"/>
      <c r="D452" s="66" t="str">
        <f t="shared" si="42"/>
        <v/>
      </c>
      <c r="E452" s="64" t="str">
        <f>IF(OR(C452="",A452=""),"",IF(A452&lt;'Page de garde'!$G$7,IF(VALUE(RIGHT(C452,2))&lt;50,76,96),INDEX(EC!$C$2:$C$677,MATCH(C452,EC,0))))</f>
        <v/>
      </c>
      <c r="F452" s="33" t="str">
        <f t="shared" si="43"/>
        <v/>
      </c>
      <c r="G452" s="38"/>
      <c r="H452" s="38"/>
      <c r="I452" s="38"/>
      <c r="J452" s="36"/>
      <c r="K452" s="29"/>
      <c r="L452" s="29"/>
      <c r="M452" s="31"/>
      <c r="N452" s="40">
        <f t="shared" si="44"/>
        <v>0</v>
      </c>
      <c r="P452" s="4" t="str">
        <f t="shared" si="45"/>
        <v/>
      </c>
      <c r="Q452" s="4" t="str">
        <f t="shared" si="46"/>
        <v/>
      </c>
      <c r="R452" s="4" t="str">
        <f t="shared" si="47"/>
        <v>/</v>
      </c>
      <c r="S452" s="4" t="str">
        <f t="shared" si="48"/>
        <v/>
      </c>
    </row>
    <row r="453" spans="1:19" x14ac:dyDescent="0.35">
      <c r="A453" s="54"/>
      <c r="B453" s="57"/>
      <c r="C453" s="60"/>
      <c r="D453" s="66" t="str">
        <f t="shared" ref="D453:D504" si="49">IF(OR(B453="",C453=""),"",CONCATENATE(B453,"/",LEFT(C453,3),"-",RIGHT(C453,2)))</f>
        <v/>
      </c>
      <c r="E453" s="64" t="str">
        <f>IF(OR(C453="",A453=""),"",IF(A453&lt;'Page de garde'!$G$7,IF(VALUE(RIGHT(C453,2))&lt;50,76,96),INDEX(EC!$C$2:$C$677,MATCH(C453,EC,0))))</f>
        <v/>
      </c>
      <c r="F453" s="33" t="str">
        <f t="shared" ref="F453:F504" si="50">IF(C453="","",INDEX(OmEC,MATCH(C453,EC,0)))</f>
        <v/>
      </c>
      <c r="G453" s="38"/>
      <c r="H453" s="38"/>
      <c r="I453" s="38"/>
      <c r="J453" s="36"/>
      <c r="K453" s="29"/>
      <c r="L453" s="29"/>
      <c r="M453" s="31"/>
      <c r="N453" s="40">
        <f t="shared" ref="N453:N504" si="51">SUM(I453:M453)</f>
        <v>0</v>
      </c>
      <c r="P453" s="4" t="str">
        <f t="shared" ref="P453:P504" si="52">LEFT(C453,3)</f>
        <v/>
      </c>
      <c r="Q453" s="4" t="str">
        <f t="shared" si="46"/>
        <v/>
      </c>
      <c r="R453" s="4" t="str">
        <f t="shared" si="47"/>
        <v>/</v>
      </c>
      <c r="S453" s="4" t="str">
        <f t="shared" si="48"/>
        <v/>
      </c>
    </row>
    <row r="454" spans="1:19" x14ac:dyDescent="0.35">
      <c r="A454" s="54"/>
      <c r="B454" s="57"/>
      <c r="C454" s="60"/>
      <c r="D454" s="66" t="str">
        <f t="shared" si="49"/>
        <v/>
      </c>
      <c r="E454" s="64" t="str">
        <f>IF(OR(C454="",A454=""),"",IF(A454&lt;'Page de garde'!$G$7,IF(VALUE(RIGHT(C454,2))&lt;50,76,96),INDEX(EC!$C$2:$C$677,MATCH(C454,EC,0))))</f>
        <v/>
      </c>
      <c r="F454" s="33" t="str">
        <f t="shared" si="50"/>
        <v/>
      </c>
      <c r="G454" s="38"/>
      <c r="H454" s="38"/>
      <c r="I454" s="38"/>
      <c r="J454" s="36"/>
      <c r="K454" s="29"/>
      <c r="L454" s="29"/>
      <c r="M454" s="31"/>
      <c r="N454" s="40">
        <f t="shared" si="51"/>
        <v>0</v>
      </c>
      <c r="P454" s="4" t="str">
        <f t="shared" si="52"/>
        <v/>
      </c>
      <c r="Q454" s="4" t="str">
        <f t="shared" ref="Q454:Q504" si="53">IF(C454="","",IF(VALUE(RIGHT(C454,2))&lt;50,"G","B"))</f>
        <v/>
      </c>
      <c r="R454" s="4" t="str">
        <f t="shared" ref="R454:R504" si="54">CONCATENATE(D454,"/",A454)</f>
        <v>/</v>
      </c>
      <c r="S454" s="4" t="str">
        <f t="shared" ref="S454:S504" si="55">LEFT(B454,3)</f>
        <v/>
      </c>
    </row>
    <row r="455" spans="1:19" x14ac:dyDescent="0.35">
      <c r="A455" s="54"/>
      <c r="B455" s="57"/>
      <c r="C455" s="60"/>
      <c r="D455" s="66" t="str">
        <f t="shared" si="49"/>
        <v/>
      </c>
      <c r="E455" s="64" t="str">
        <f>IF(OR(C455="",A455=""),"",IF(A455&lt;'Page de garde'!$G$7,IF(VALUE(RIGHT(C455,2))&lt;50,76,96),INDEX(EC!$C$2:$C$677,MATCH(C455,EC,0))))</f>
        <v/>
      </c>
      <c r="F455" s="33" t="str">
        <f t="shared" si="50"/>
        <v/>
      </c>
      <c r="G455" s="38"/>
      <c r="H455" s="38"/>
      <c r="I455" s="38"/>
      <c r="J455" s="36"/>
      <c r="K455" s="29"/>
      <c r="L455" s="29"/>
      <c r="M455" s="31"/>
      <c r="N455" s="40">
        <f t="shared" si="51"/>
        <v>0</v>
      </c>
      <c r="P455" s="4" t="str">
        <f t="shared" si="52"/>
        <v/>
      </c>
      <c r="Q455" s="4" t="str">
        <f t="shared" si="53"/>
        <v/>
      </c>
      <c r="R455" s="4" t="str">
        <f t="shared" si="54"/>
        <v>/</v>
      </c>
      <c r="S455" s="4" t="str">
        <f t="shared" si="55"/>
        <v/>
      </c>
    </row>
    <row r="456" spans="1:19" x14ac:dyDescent="0.35">
      <c r="A456" s="54"/>
      <c r="B456" s="57"/>
      <c r="C456" s="60"/>
      <c r="D456" s="66" t="str">
        <f t="shared" si="49"/>
        <v/>
      </c>
      <c r="E456" s="64" t="str">
        <f>IF(OR(C456="",A456=""),"",IF(A456&lt;'Page de garde'!$G$7,IF(VALUE(RIGHT(C456,2))&lt;50,76,96),INDEX(EC!$C$2:$C$677,MATCH(C456,EC,0))))</f>
        <v/>
      </c>
      <c r="F456" s="33" t="str">
        <f t="shared" si="50"/>
        <v/>
      </c>
      <c r="G456" s="38"/>
      <c r="H456" s="38"/>
      <c r="I456" s="38"/>
      <c r="J456" s="36"/>
      <c r="K456" s="29"/>
      <c r="L456" s="29"/>
      <c r="M456" s="31"/>
      <c r="N456" s="40">
        <f t="shared" si="51"/>
        <v>0</v>
      </c>
      <c r="P456" s="4" t="str">
        <f t="shared" si="52"/>
        <v/>
      </c>
      <c r="Q456" s="4" t="str">
        <f t="shared" si="53"/>
        <v/>
      </c>
      <c r="R456" s="4" t="str">
        <f t="shared" si="54"/>
        <v>/</v>
      </c>
      <c r="S456" s="4" t="str">
        <f t="shared" si="55"/>
        <v/>
      </c>
    </row>
    <row r="457" spans="1:19" x14ac:dyDescent="0.35">
      <c r="A457" s="54"/>
      <c r="B457" s="57"/>
      <c r="C457" s="60"/>
      <c r="D457" s="66" t="str">
        <f t="shared" si="49"/>
        <v/>
      </c>
      <c r="E457" s="64" t="str">
        <f>IF(OR(C457="",A457=""),"",IF(A457&lt;'Page de garde'!$G$7,IF(VALUE(RIGHT(C457,2))&lt;50,76,96),INDEX(EC!$C$2:$C$677,MATCH(C457,EC,0))))</f>
        <v/>
      </c>
      <c r="F457" s="33" t="str">
        <f t="shared" si="50"/>
        <v/>
      </c>
      <c r="G457" s="38"/>
      <c r="H457" s="38"/>
      <c r="I457" s="38"/>
      <c r="J457" s="36"/>
      <c r="K457" s="29"/>
      <c r="L457" s="29"/>
      <c r="M457" s="31"/>
      <c r="N457" s="40">
        <f t="shared" si="51"/>
        <v>0</v>
      </c>
      <c r="P457" s="4" t="str">
        <f t="shared" si="52"/>
        <v/>
      </c>
      <c r="Q457" s="4" t="str">
        <f t="shared" si="53"/>
        <v/>
      </c>
      <c r="R457" s="4" t="str">
        <f t="shared" si="54"/>
        <v>/</v>
      </c>
      <c r="S457" s="4" t="str">
        <f t="shared" si="55"/>
        <v/>
      </c>
    </row>
    <row r="458" spans="1:19" x14ac:dyDescent="0.35">
      <c r="A458" s="54"/>
      <c r="B458" s="57"/>
      <c r="C458" s="60"/>
      <c r="D458" s="66" t="str">
        <f t="shared" si="49"/>
        <v/>
      </c>
      <c r="E458" s="64" t="str">
        <f>IF(OR(C458="",A458=""),"",IF(A458&lt;'Page de garde'!$G$7,IF(VALUE(RIGHT(C458,2))&lt;50,76,96),INDEX(EC!$C$2:$C$677,MATCH(C458,EC,0))))</f>
        <v/>
      </c>
      <c r="F458" s="33" t="str">
        <f t="shared" si="50"/>
        <v/>
      </c>
      <c r="G458" s="38"/>
      <c r="H458" s="38"/>
      <c r="I458" s="38"/>
      <c r="J458" s="36"/>
      <c r="K458" s="29"/>
      <c r="L458" s="29"/>
      <c r="M458" s="31"/>
      <c r="N458" s="40">
        <f t="shared" si="51"/>
        <v>0</v>
      </c>
      <c r="P458" s="4" t="str">
        <f t="shared" si="52"/>
        <v/>
      </c>
      <c r="Q458" s="4" t="str">
        <f t="shared" si="53"/>
        <v/>
      </c>
      <c r="R458" s="4" t="str">
        <f t="shared" si="54"/>
        <v>/</v>
      </c>
      <c r="S458" s="4" t="str">
        <f t="shared" si="55"/>
        <v/>
      </c>
    </row>
    <row r="459" spans="1:19" x14ac:dyDescent="0.35">
      <c r="A459" s="54"/>
      <c r="B459" s="57"/>
      <c r="C459" s="60"/>
      <c r="D459" s="66" t="str">
        <f t="shared" si="49"/>
        <v/>
      </c>
      <c r="E459" s="64" t="str">
        <f>IF(OR(C459="",A459=""),"",IF(A459&lt;'Page de garde'!$G$7,IF(VALUE(RIGHT(C459,2))&lt;50,76,96),INDEX(EC!$C$2:$C$677,MATCH(C459,EC,0))))</f>
        <v/>
      </c>
      <c r="F459" s="33" t="str">
        <f t="shared" si="50"/>
        <v/>
      </c>
      <c r="G459" s="38"/>
      <c r="H459" s="38"/>
      <c r="I459" s="38"/>
      <c r="J459" s="36"/>
      <c r="K459" s="29"/>
      <c r="L459" s="29"/>
      <c r="M459" s="31"/>
      <c r="N459" s="40">
        <f t="shared" si="51"/>
        <v>0</v>
      </c>
      <c r="P459" s="4" t="str">
        <f t="shared" si="52"/>
        <v/>
      </c>
      <c r="Q459" s="4" t="str">
        <f t="shared" si="53"/>
        <v/>
      </c>
      <c r="R459" s="4" t="str">
        <f t="shared" si="54"/>
        <v>/</v>
      </c>
      <c r="S459" s="4" t="str">
        <f t="shared" si="55"/>
        <v/>
      </c>
    </row>
    <row r="460" spans="1:19" x14ac:dyDescent="0.35">
      <c r="A460" s="54"/>
      <c r="B460" s="57"/>
      <c r="C460" s="60"/>
      <c r="D460" s="66" t="str">
        <f t="shared" si="49"/>
        <v/>
      </c>
      <c r="E460" s="64" t="str">
        <f>IF(OR(C460="",A460=""),"",IF(A460&lt;'Page de garde'!$G$7,IF(VALUE(RIGHT(C460,2))&lt;50,76,96),INDEX(EC!$C$2:$C$677,MATCH(C460,EC,0))))</f>
        <v/>
      </c>
      <c r="F460" s="33" t="str">
        <f t="shared" si="50"/>
        <v/>
      </c>
      <c r="G460" s="38"/>
      <c r="H460" s="38"/>
      <c r="I460" s="38"/>
      <c r="J460" s="36"/>
      <c r="K460" s="29"/>
      <c r="L460" s="29"/>
      <c r="M460" s="31"/>
      <c r="N460" s="40">
        <f t="shared" si="51"/>
        <v>0</v>
      </c>
      <c r="P460" s="4" t="str">
        <f t="shared" si="52"/>
        <v/>
      </c>
      <c r="Q460" s="4" t="str">
        <f t="shared" si="53"/>
        <v/>
      </c>
      <c r="R460" s="4" t="str">
        <f t="shared" si="54"/>
        <v>/</v>
      </c>
      <c r="S460" s="4" t="str">
        <f t="shared" si="55"/>
        <v/>
      </c>
    </row>
    <row r="461" spans="1:19" x14ac:dyDescent="0.35">
      <c r="A461" s="54"/>
      <c r="B461" s="57"/>
      <c r="C461" s="60"/>
      <c r="D461" s="66" t="str">
        <f t="shared" si="49"/>
        <v/>
      </c>
      <c r="E461" s="64" t="str">
        <f>IF(OR(C461="",A461=""),"",IF(A461&lt;'Page de garde'!$G$7,IF(VALUE(RIGHT(C461,2))&lt;50,76,96),INDEX(EC!$C$2:$C$677,MATCH(C461,EC,0))))</f>
        <v/>
      </c>
      <c r="F461" s="33" t="str">
        <f t="shared" si="50"/>
        <v/>
      </c>
      <c r="G461" s="38"/>
      <c r="H461" s="38"/>
      <c r="I461" s="38"/>
      <c r="J461" s="36"/>
      <c r="K461" s="29"/>
      <c r="L461" s="29"/>
      <c r="M461" s="31"/>
      <c r="N461" s="40">
        <f t="shared" si="51"/>
        <v>0</v>
      </c>
      <c r="P461" s="4" t="str">
        <f t="shared" si="52"/>
        <v/>
      </c>
      <c r="Q461" s="4" t="str">
        <f t="shared" si="53"/>
        <v/>
      </c>
      <c r="R461" s="4" t="str">
        <f t="shared" si="54"/>
        <v>/</v>
      </c>
      <c r="S461" s="4" t="str">
        <f t="shared" si="55"/>
        <v/>
      </c>
    </row>
    <row r="462" spans="1:19" x14ac:dyDescent="0.35">
      <c r="A462" s="54"/>
      <c r="B462" s="57"/>
      <c r="C462" s="60"/>
      <c r="D462" s="66" t="str">
        <f t="shared" si="49"/>
        <v/>
      </c>
      <c r="E462" s="64" t="str">
        <f>IF(OR(C462="",A462=""),"",IF(A462&lt;'Page de garde'!$G$7,IF(VALUE(RIGHT(C462,2))&lt;50,76,96),INDEX(EC!$C$2:$C$677,MATCH(C462,EC,0))))</f>
        <v/>
      </c>
      <c r="F462" s="33" t="str">
        <f t="shared" si="50"/>
        <v/>
      </c>
      <c r="G462" s="38"/>
      <c r="H462" s="38"/>
      <c r="I462" s="38"/>
      <c r="J462" s="36"/>
      <c r="K462" s="29"/>
      <c r="L462" s="29"/>
      <c r="M462" s="31"/>
      <c r="N462" s="40">
        <f t="shared" si="51"/>
        <v>0</v>
      </c>
      <c r="P462" s="4" t="str">
        <f t="shared" si="52"/>
        <v/>
      </c>
      <c r="Q462" s="4" t="str">
        <f t="shared" si="53"/>
        <v/>
      </c>
      <c r="R462" s="4" t="str">
        <f t="shared" si="54"/>
        <v>/</v>
      </c>
      <c r="S462" s="4" t="str">
        <f t="shared" si="55"/>
        <v/>
      </c>
    </row>
    <row r="463" spans="1:19" x14ac:dyDescent="0.35">
      <c r="A463" s="54"/>
      <c r="B463" s="57"/>
      <c r="C463" s="60"/>
      <c r="D463" s="66" t="str">
        <f t="shared" si="49"/>
        <v/>
      </c>
      <c r="E463" s="64" t="str">
        <f>IF(OR(C463="",A463=""),"",IF(A463&lt;'Page de garde'!$G$7,IF(VALUE(RIGHT(C463,2))&lt;50,76,96),INDEX(EC!$C$2:$C$677,MATCH(C463,EC,0))))</f>
        <v/>
      </c>
      <c r="F463" s="33" t="str">
        <f t="shared" si="50"/>
        <v/>
      </c>
      <c r="G463" s="38"/>
      <c r="H463" s="38"/>
      <c r="I463" s="38"/>
      <c r="J463" s="36"/>
      <c r="K463" s="29"/>
      <c r="L463" s="29"/>
      <c r="M463" s="31"/>
      <c r="N463" s="40">
        <f t="shared" si="51"/>
        <v>0</v>
      </c>
      <c r="P463" s="4" t="str">
        <f t="shared" si="52"/>
        <v/>
      </c>
      <c r="Q463" s="4" t="str">
        <f t="shared" si="53"/>
        <v/>
      </c>
      <c r="R463" s="4" t="str">
        <f t="shared" si="54"/>
        <v>/</v>
      </c>
      <c r="S463" s="4" t="str">
        <f t="shared" si="55"/>
        <v/>
      </c>
    </row>
    <row r="464" spans="1:19" x14ac:dyDescent="0.35">
      <c r="A464" s="54"/>
      <c r="B464" s="57"/>
      <c r="C464" s="60"/>
      <c r="D464" s="66" t="str">
        <f t="shared" si="49"/>
        <v/>
      </c>
      <c r="E464" s="64" t="str">
        <f>IF(OR(C464="",A464=""),"",IF(A464&lt;'Page de garde'!$G$7,IF(VALUE(RIGHT(C464,2))&lt;50,76,96),INDEX(EC!$C$2:$C$677,MATCH(C464,EC,0))))</f>
        <v/>
      </c>
      <c r="F464" s="33" t="str">
        <f t="shared" si="50"/>
        <v/>
      </c>
      <c r="G464" s="38"/>
      <c r="H464" s="38"/>
      <c r="I464" s="38"/>
      <c r="J464" s="36"/>
      <c r="K464" s="29"/>
      <c r="L464" s="29"/>
      <c r="M464" s="31"/>
      <c r="N464" s="40">
        <f t="shared" si="51"/>
        <v>0</v>
      </c>
      <c r="P464" s="4" t="str">
        <f t="shared" si="52"/>
        <v/>
      </c>
      <c r="Q464" s="4" t="str">
        <f t="shared" si="53"/>
        <v/>
      </c>
      <c r="R464" s="4" t="str">
        <f t="shared" si="54"/>
        <v>/</v>
      </c>
      <c r="S464" s="4" t="str">
        <f t="shared" si="55"/>
        <v/>
      </c>
    </row>
    <row r="465" spans="1:19" x14ac:dyDescent="0.35">
      <c r="A465" s="54"/>
      <c r="B465" s="57"/>
      <c r="C465" s="60"/>
      <c r="D465" s="66" t="str">
        <f t="shared" si="49"/>
        <v/>
      </c>
      <c r="E465" s="64" t="str">
        <f>IF(OR(C465="",A465=""),"",IF(A465&lt;'Page de garde'!$G$7,IF(VALUE(RIGHT(C465,2))&lt;50,76,96),INDEX(EC!$C$2:$C$677,MATCH(C465,EC,0))))</f>
        <v/>
      </c>
      <c r="F465" s="33" t="str">
        <f t="shared" si="50"/>
        <v/>
      </c>
      <c r="G465" s="38"/>
      <c r="H465" s="38"/>
      <c r="I465" s="38"/>
      <c r="J465" s="36"/>
      <c r="K465" s="29"/>
      <c r="L465" s="29"/>
      <c r="M465" s="31"/>
      <c r="N465" s="40">
        <f t="shared" si="51"/>
        <v>0</v>
      </c>
      <c r="P465" s="4" t="str">
        <f t="shared" si="52"/>
        <v/>
      </c>
      <c r="Q465" s="4" t="str">
        <f t="shared" si="53"/>
        <v/>
      </c>
      <c r="R465" s="4" t="str">
        <f t="shared" si="54"/>
        <v>/</v>
      </c>
      <c r="S465" s="4" t="str">
        <f t="shared" si="55"/>
        <v/>
      </c>
    </row>
    <row r="466" spans="1:19" x14ac:dyDescent="0.35">
      <c r="A466" s="54"/>
      <c r="B466" s="57"/>
      <c r="C466" s="60"/>
      <c r="D466" s="66" t="str">
        <f t="shared" si="49"/>
        <v/>
      </c>
      <c r="E466" s="64" t="str">
        <f>IF(OR(C466="",A466=""),"",IF(A466&lt;'Page de garde'!$G$7,IF(VALUE(RIGHT(C466,2))&lt;50,76,96),INDEX(EC!$C$2:$C$677,MATCH(C466,EC,0))))</f>
        <v/>
      </c>
      <c r="F466" s="33" t="str">
        <f t="shared" si="50"/>
        <v/>
      </c>
      <c r="G466" s="38"/>
      <c r="H466" s="38"/>
      <c r="I466" s="38"/>
      <c r="J466" s="36"/>
      <c r="K466" s="29"/>
      <c r="L466" s="29"/>
      <c r="M466" s="31"/>
      <c r="N466" s="40">
        <f t="shared" si="51"/>
        <v>0</v>
      </c>
      <c r="P466" s="4" t="str">
        <f t="shared" si="52"/>
        <v/>
      </c>
      <c r="Q466" s="4" t="str">
        <f t="shared" si="53"/>
        <v/>
      </c>
      <c r="R466" s="4" t="str">
        <f t="shared" si="54"/>
        <v>/</v>
      </c>
      <c r="S466" s="4" t="str">
        <f t="shared" si="55"/>
        <v/>
      </c>
    </row>
    <row r="467" spans="1:19" x14ac:dyDescent="0.35">
      <c r="A467" s="54"/>
      <c r="B467" s="57"/>
      <c r="C467" s="60"/>
      <c r="D467" s="66" t="str">
        <f t="shared" si="49"/>
        <v/>
      </c>
      <c r="E467" s="64" t="str">
        <f>IF(OR(C467="",A467=""),"",IF(A467&lt;'Page de garde'!$G$7,IF(VALUE(RIGHT(C467,2))&lt;50,76,96),INDEX(EC!$C$2:$C$677,MATCH(C467,EC,0))))</f>
        <v/>
      </c>
      <c r="F467" s="33" t="str">
        <f t="shared" si="50"/>
        <v/>
      </c>
      <c r="G467" s="38"/>
      <c r="H467" s="38"/>
      <c r="I467" s="38"/>
      <c r="J467" s="36"/>
      <c r="K467" s="29"/>
      <c r="L467" s="29"/>
      <c r="M467" s="31"/>
      <c r="N467" s="40">
        <f t="shared" si="51"/>
        <v>0</v>
      </c>
      <c r="P467" s="4" t="str">
        <f t="shared" si="52"/>
        <v/>
      </c>
      <c r="Q467" s="4" t="str">
        <f t="shared" si="53"/>
        <v/>
      </c>
      <c r="R467" s="4" t="str">
        <f t="shared" si="54"/>
        <v>/</v>
      </c>
      <c r="S467" s="4" t="str">
        <f t="shared" si="55"/>
        <v/>
      </c>
    </row>
    <row r="468" spans="1:19" x14ac:dyDescent="0.35">
      <c r="A468" s="54"/>
      <c r="B468" s="57"/>
      <c r="C468" s="60"/>
      <c r="D468" s="66" t="str">
        <f t="shared" si="49"/>
        <v/>
      </c>
      <c r="E468" s="64" t="str">
        <f>IF(OR(C468="",A468=""),"",IF(A468&lt;'Page de garde'!$G$7,IF(VALUE(RIGHT(C468,2))&lt;50,76,96),INDEX(EC!$C$2:$C$677,MATCH(C468,EC,0))))</f>
        <v/>
      </c>
      <c r="F468" s="33" t="str">
        <f t="shared" si="50"/>
        <v/>
      </c>
      <c r="G468" s="38"/>
      <c r="H468" s="38"/>
      <c r="I468" s="38"/>
      <c r="J468" s="36"/>
      <c r="K468" s="29"/>
      <c r="L468" s="29"/>
      <c r="M468" s="31"/>
      <c r="N468" s="40">
        <f t="shared" si="51"/>
        <v>0</v>
      </c>
      <c r="P468" s="4" t="str">
        <f t="shared" si="52"/>
        <v/>
      </c>
      <c r="Q468" s="4" t="str">
        <f t="shared" si="53"/>
        <v/>
      </c>
      <c r="R468" s="4" t="str">
        <f t="shared" si="54"/>
        <v>/</v>
      </c>
      <c r="S468" s="4" t="str">
        <f t="shared" si="55"/>
        <v/>
      </c>
    </row>
    <row r="469" spans="1:19" x14ac:dyDescent="0.35">
      <c r="A469" s="54"/>
      <c r="B469" s="57"/>
      <c r="C469" s="60"/>
      <c r="D469" s="66" t="str">
        <f t="shared" si="49"/>
        <v/>
      </c>
      <c r="E469" s="64" t="str">
        <f>IF(OR(C469="",A469=""),"",IF(A469&lt;'Page de garde'!$G$7,IF(VALUE(RIGHT(C469,2))&lt;50,76,96),INDEX(EC!$C$2:$C$677,MATCH(C469,EC,0))))</f>
        <v/>
      </c>
      <c r="F469" s="33" t="str">
        <f t="shared" si="50"/>
        <v/>
      </c>
      <c r="G469" s="38"/>
      <c r="H469" s="38"/>
      <c r="I469" s="38"/>
      <c r="J469" s="36"/>
      <c r="K469" s="29"/>
      <c r="L469" s="29"/>
      <c r="M469" s="31"/>
      <c r="N469" s="40">
        <f t="shared" si="51"/>
        <v>0</v>
      </c>
      <c r="P469" s="4" t="str">
        <f t="shared" si="52"/>
        <v/>
      </c>
      <c r="Q469" s="4" t="str">
        <f t="shared" si="53"/>
        <v/>
      </c>
      <c r="R469" s="4" t="str">
        <f t="shared" si="54"/>
        <v>/</v>
      </c>
      <c r="S469" s="4" t="str">
        <f t="shared" si="55"/>
        <v/>
      </c>
    </row>
    <row r="470" spans="1:19" x14ac:dyDescent="0.35">
      <c r="A470" s="54"/>
      <c r="B470" s="57"/>
      <c r="C470" s="60"/>
      <c r="D470" s="66" t="str">
        <f t="shared" si="49"/>
        <v/>
      </c>
      <c r="E470" s="64" t="str">
        <f>IF(OR(C470="",A470=""),"",IF(A470&lt;'Page de garde'!$G$7,IF(VALUE(RIGHT(C470,2))&lt;50,76,96),INDEX(EC!$C$2:$C$677,MATCH(C470,EC,0))))</f>
        <v/>
      </c>
      <c r="F470" s="33" t="str">
        <f t="shared" si="50"/>
        <v/>
      </c>
      <c r="G470" s="38"/>
      <c r="H470" s="38"/>
      <c r="I470" s="38"/>
      <c r="J470" s="36"/>
      <c r="K470" s="29"/>
      <c r="L470" s="29"/>
      <c r="M470" s="31"/>
      <c r="N470" s="40">
        <f t="shared" si="51"/>
        <v>0</v>
      </c>
      <c r="P470" s="4" t="str">
        <f t="shared" si="52"/>
        <v/>
      </c>
      <c r="Q470" s="4" t="str">
        <f t="shared" si="53"/>
        <v/>
      </c>
      <c r="R470" s="4" t="str">
        <f t="shared" si="54"/>
        <v>/</v>
      </c>
      <c r="S470" s="4" t="str">
        <f t="shared" si="55"/>
        <v/>
      </c>
    </row>
    <row r="471" spans="1:19" x14ac:dyDescent="0.35">
      <c r="A471" s="54"/>
      <c r="B471" s="57"/>
      <c r="C471" s="60"/>
      <c r="D471" s="66" t="str">
        <f t="shared" si="49"/>
        <v/>
      </c>
      <c r="E471" s="64" t="str">
        <f>IF(OR(C471="",A471=""),"",IF(A471&lt;'Page de garde'!$G$7,IF(VALUE(RIGHT(C471,2))&lt;50,76,96),INDEX(EC!$C$2:$C$677,MATCH(C471,EC,0))))</f>
        <v/>
      </c>
      <c r="F471" s="33" t="str">
        <f t="shared" si="50"/>
        <v/>
      </c>
      <c r="G471" s="38"/>
      <c r="H471" s="38"/>
      <c r="I471" s="38"/>
      <c r="J471" s="36"/>
      <c r="K471" s="29"/>
      <c r="L471" s="29"/>
      <c r="M471" s="31"/>
      <c r="N471" s="40">
        <f t="shared" si="51"/>
        <v>0</v>
      </c>
      <c r="P471" s="4" t="str">
        <f t="shared" si="52"/>
        <v/>
      </c>
      <c r="Q471" s="4" t="str">
        <f t="shared" si="53"/>
        <v/>
      </c>
      <c r="R471" s="4" t="str">
        <f t="shared" si="54"/>
        <v>/</v>
      </c>
      <c r="S471" s="4" t="str">
        <f t="shared" si="55"/>
        <v/>
      </c>
    </row>
    <row r="472" spans="1:19" x14ac:dyDescent="0.35">
      <c r="A472" s="54"/>
      <c r="B472" s="57"/>
      <c r="C472" s="60"/>
      <c r="D472" s="66" t="str">
        <f t="shared" si="49"/>
        <v/>
      </c>
      <c r="E472" s="64" t="str">
        <f>IF(OR(C472="",A472=""),"",IF(A472&lt;'Page de garde'!$G$7,IF(VALUE(RIGHT(C472,2))&lt;50,76,96),INDEX(EC!$C$2:$C$677,MATCH(C472,EC,0))))</f>
        <v/>
      </c>
      <c r="F472" s="33" t="str">
        <f t="shared" si="50"/>
        <v/>
      </c>
      <c r="G472" s="38"/>
      <c r="H472" s="38"/>
      <c r="I472" s="38"/>
      <c r="J472" s="36"/>
      <c r="K472" s="29"/>
      <c r="L472" s="29"/>
      <c r="M472" s="31"/>
      <c r="N472" s="40">
        <f t="shared" si="51"/>
        <v>0</v>
      </c>
      <c r="P472" s="4" t="str">
        <f t="shared" si="52"/>
        <v/>
      </c>
      <c r="Q472" s="4" t="str">
        <f t="shared" si="53"/>
        <v/>
      </c>
      <c r="R472" s="4" t="str">
        <f t="shared" si="54"/>
        <v>/</v>
      </c>
      <c r="S472" s="4" t="str">
        <f t="shared" si="55"/>
        <v/>
      </c>
    </row>
    <row r="473" spans="1:19" x14ac:dyDescent="0.35">
      <c r="A473" s="54"/>
      <c r="B473" s="57"/>
      <c r="C473" s="60"/>
      <c r="D473" s="66" t="str">
        <f t="shared" si="49"/>
        <v/>
      </c>
      <c r="E473" s="64" t="str">
        <f>IF(OR(C473="",A473=""),"",IF(A473&lt;'Page de garde'!$G$7,IF(VALUE(RIGHT(C473,2))&lt;50,76,96),INDEX(EC!$C$2:$C$677,MATCH(C473,EC,0))))</f>
        <v/>
      </c>
      <c r="F473" s="33" t="str">
        <f t="shared" si="50"/>
        <v/>
      </c>
      <c r="G473" s="38"/>
      <c r="H473" s="38"/>
      <c r="I473" s="38"/>
      <c r="J473" s="36"/>
      <c r="K473" s="29"/>
      <c r="L473" s="29"/>
      <c r="M473" s="31"/>
      <c r="N473" s="40">
        <f t="shared" si="51"/>
        <v>0</v>
      </c>
      <c r="P473" s="4" t="str">
        <f t="shared" si="52"/>
        <v/>
      </c>
      <c r="Q473" s="4" t="str">
        <f t="shared" si="53"/>
        <v/>
      </c>
      <c r="R473" s="4" t="str">
        <f t="shared" si="54"/>
        <v>/</v>
      </c>
      <c r="S473" s="4" t="str">
        <f t="shared" si="55"/>
        <v/>
      </c>
    </row>
    <row r="474" spans="1:19" x14ac:dyDescent="0.35">
      <c r="A474" s="54"/>
      <c r="B474" s="57"/>
      <c r="C474" s="60"/>
      <c r="D474" s="66" t="str">
        <f t="shared" si="49"/>
        <v/>
      </c>
      <c r="E474" s="64" t="str">
        <f>IF(OR(C474="",A474=""),"",IF(A474&lt;'Page de garde'!$G$7,IF(VALUE(RIGHT(C474,2))&lt;50,76,96),INDEX(EC!$C$2:$C$677,MATCH(C474,EC,0))))</f>
        <v/>
      </c>
      <c r="F474" s="33" t="str">
        <f t="shared" si="50"/>
        <v/>
      </c>
      <c r="G474" s="38"/>
      <c r="H474" s="38"/>
      <c r="I474" s="38"/>
      <c r="J474" s="36"/>
      <c r="K474" s="29"/>
      <c r="L474" s="29"/>
      <c r="M474" s="31"/>
      <c r="N474" s="40">
        <f t="shared" si="51"/>
        <v>0</v>
      </c>
      <c r="P474" s="4" t="str">
        <f t="shared" si="52"/>
        <v/>
      </c>
      <c r="Q474" s="4" t="str">
        <f t="shared" si="53"/>
        <v/>
      </c>
      <c r="R474" s="4" t="str">
        <f t="shared" si="54"/>
        <v>/</v>
      </c>
      <c r="S474" s="4" t="str">
        <f t="shared" si="55"/>
        <v/>
      </c>
    </row>
    <row r="475" spans="1:19" x14ac:dyDescent="0.35">
      <c r="A475" s="54"/>
      <c r="B475" s="57"/>
      <c r="C475" s="60"/>
      <c r="D475" s="66" t="str">
        <f t="shared" si="49"/>
        <v/>
      </c>
      <c r="E475" s="64" t="str">
        <f>IF(OR(C475="",A475=""),"",IF(A475&lt;'Page de garde'!$G$7,IF(VALUE(RIGHT(C475,2))&lt;50,76,96),INDEX(EC!$C$2:$C$677,MATCH(C475,EC,0))))</f>
        <v/>
      </c>
      <c r="F475" s="33" t="str">
        <f t="shared" si="50"/>
        <v/>
      </c>
      <c r="G475" s="38"/>
      <c r="H475" s="38"/>
      <c r="I475" s="38"/>
      <c r="J475" s="36"/>
      <c r="K475" s="29"/>
      <c r="L475" s="29"/>
      <c r="M475" s="31"/>
      <c r="N475" s="40">
        <f t="shared" si="51"/>
        <v>0</v>
      </c>
      <c r="P475" s="4" t="str">
        <f t="shared" si="52"/>
        <v/>
      </c>
      <c r="Q475" s="4" t="str">
        <f t="shared" si="53"/>
        <v/>
      </c>
      <c r="R475" s="4" t="str">
        <f t="shared" si="54"/>
        <v>/</v>
      </c>
      <c r="S475" s="4" t="str">
        <f t="shared" si="55"/>
        <v/>
      </c>
    </row>
    <row r="476" spans="1:19" x14ac:dyDescent="0.35">
      <c r="A476" s="54"/>
      <c r="B476" s="57"/>
      <c r="C476" s="60"/>
      <c r="D476" s="66" t="str">
        <f t="shared" si="49"/>
        <v/>
      </c>
      <c r="E476" s="64" t="str">
        <f>IF(OR(C476="",A476=""),"",IF(A476&lt;'Page de garde'!$G$7,IF(VALUE(RIGHT(C476,2))&lt;50,76,96),INDEX(EC!$C$2:$C$677,MATCH(C476,EC,0))))</f>
        <v/>
      </c>
      <c r="F476" s="33" t="str">
        <f t="shared" si="50"/>
        <v/>
      </c>
      <c r="G476" s="38"/>
      <c r="H476" s="38"/>
      <c r="I476" s="38"/>
      <c r="J476" s="36"/>
      <c r="K476" s="29"/>
      <c r="L476" s="29"/>
      <c r="M476" s="31"/>
      <c r="N476" s="40">
        <f t="shared" si="51"/>
        <v>0</v>
      </c>
      <c r="P476" s="4" t="str">
        <f t="shared" si="52"/>
        <v/>
      </c>
      <c r="Q476" s="4" t="str">
        <f t="shared" si="53"/>
        <v/>
      </c>
      <c r="R476" s="4" t="str">
        <f t="shared" si="54"/>
        <v>/</v>
      </c>
      <c r="S476" s="4" t="str">
        <f t="shared" si="55"/>
        <v/>
      </c>
    </row>
    <row r="477" spans="1:19" x14ac:dyDescent="0.35">
      <c r="A477" s="54"/>
      <c r="B477" s="57"/>
      <c r="C477" s="60"/>
      <c r="D477" s="66" t="str">
        <f t="shared" si="49"/>
        <v/>
      </c>
      <c r="E477" s="64" t="str">
        <f>IF(OR(C477="",A477=""),"",IF(A477&lt;'Page de garde'!$G$7,IF(VALUE(RIGHT(C477,2))&lt;50,76,96),INDEX(EC!$C$2:$C$677,MATCH(C477,EC,0))))</f>
        <v/>
      </c>
      <c r="F477" s="33" t="str">
        <f t="shared" si="50"/>
        <v/>
      </c>
      <c r="G477" s="38"/>
      <c r="H477" s="38"/>
      <c r="I477" s="38"/>
      <c r="J477" s="36"/>
      <c r="K477" s="29"/>
      <c r="L477" s="29"/>
      <c r="M477" s="31"/>
      <c r="N477" s="40">
        <f t="shared" si="51"/>
        <v>0</v>
      </c>
      <c r="P477" s="4" t="str">
        <f t="shared" si="52"/>
        <v/>
      </c>
      <c r="Q477" s="4" t="str">
        <f t="shared" si="53"/>
        <v/>
      </c>
      <c r="R477" s="4" t="str">
        <f t="shared" si="54"/>
        <v>/</v>
      </c>
      <c r="S477" s="4" t="str">
        <f t="shared" si="55"/>
        <v/>
      </c>
    </row>
    <row r="478" spans="1:19" x14ac:dyDescent="0.35">
      <c r="A478" s="54"/>
      <c r="B478" s="57"/>
      <c r="C478" s="60"/>
      <c r="D478" s="66" t="str">
        <f t="shared" si="49"/>
        <v/>
      </c>
      <c r="E478" s="64" t="str">
        <f>IF(OR(C478="",A478=""),"",IF(A478&lt;'Page de garde'!$G$7,IF(VALUE(RIGHT(C478,2))&lt;50,76,96),INDEX(EC!$C$2:$C$677,MATCH(C478,EC,0))))</f>
        <v/>
      </c>
      <c r="F478" s="33" t="str">
        <f t="shared" si="50"/>
        <v/>
      </c>
      <c r="G478" s="38"/>
      <c r="H478" s="38"/>
      <c r="I478" s="38"/>
      <c r="J478" s="36"/>
      <c r="K478" s="29"/>
      <c r="L478" s="29"/>
      <c r="M478" s="31"/>
      <c r="N478" s="40">
        <f t="shared" si="51"/>
        <v>0</v>
      </c>
      <c r="P478" s="4" t="str">
        <f t="shared" si="52"/>
        <v/>
      </c>
      <c r="Q478" s="4" t="str">
        <f t="shared" si="53"/>
        <v/>
      </c>
      <c r="R478" s="4" t="str">
        <f t="shared" si="54"/>
        <v>/</v>
      </c>
      <c r="S478" s="4" t="str">
        <f t="shared" si="55"/>
        <v/>
      </c>
    </row>
    <row r="479" spans="1:19" x14ac:dyDescent="0.35">
      <c r="A479" s="54"/>
      <c r="B479" s="57"/>
      <c r="C479" s="60"/>
      <c r="D479" s="66" t="str">
        <f t="shared" si="49"/>
        <v/>
      </c>
      <c r="E479" s="64" t="str">
        <f>IF(OR(C479="",A479=""),"",IF(A479&lt;'Page de garde'!$G$7,IF(VALUE(RIGHT(C479,2))&lt;50,76,96),INDEX(EC!$C$2:$C$677,MATCH(C479,EC,0))))</f>
        <v/>
      </c>
      <c r="F479" s="33" t="str">
        <f t="shared" si="50"/>
        <v/>
      </c>
      <c r="G479" s="38"/>
      <c r="H479" s="38"/>
      <c r="I479" s="38"/>
      <c r="J479" s="36"/>
      <c r="K479" s="29"/>
      <c r="L479" s="29"/>
      <c r="M479" s="31"/>
      <c r="N479" s="40">
        <f t="shared" si="51"/>
        <v>0</v>
      </c>
      <c r="P479" s="4" t="str">
        <f t="shared" si="52"/>
        <v/>
      </c>
      <c r="Q479" s="4" t="str">
        <f t="shared" si="53"/>
        <v/>
      </c>
      <c r="R479" s="4" t="str">
        <f t="shared" si="54"/>
        <v>/</v>
      </c>
      <c r="S479" s="4" t="str">
        <f t="shared" si="55"/>
        <v/>
      </c>
    </row>
    <row r="480" spans="1:19" x14ac:dyDescent="0.35">
      <c r="A480" s="54"/>
      <c r="B480" s="57"/>
      <c r="C480" s="60"/>
      <c r="D480" s="66" t="str">
        <f t="shared" si="49"/>
        <v/>
      </c>
      <c r="E480" s="64" t="str">
        <f>IF(OR(C480="",A480=""),"",IF(A480&lt;'Page de garde'!$G$7,IF(VALUE(RIGHT(C480,2))&lt;50,76,96),INDEX(EC!$C$2:$C$677,MATCH(C480,EC,0))))</f>
        <v/>
      </c>
      <c r="F480" s="33" t="str">
        <f t="shared" si="50"/>
        <v/>
      </c>
      <c r="G480" s="38"/>
      <c r="H480" s="38"/>
      <c r="I480" s="38"/>
      <c r="J480" s="36"/>
      <c r="K480" s="29"/>
      <c r="L480" s="29"/>
      <c r="M480" s="31"/>
      <c r="N480" s="40">
        <f t="shared" si="51"/>
        <v>0</v>
      </c>
      <c r="P480" s="4" t="str">
        <f t="shared" si="52"/>
        <v/>
      </c>
      <c r="Q480" s="4" t="str">
        <f t="shared" si="53"/>
        <v/>
      </c>
      <c r="R480" s="4" t="str">
        <f t="shared" si="54"/>
        <v>/</v>
      </c>
      <c r="S480" s="4" t="str">
        <f t="shared" si="55"/>
        <v/>
      </c>
    </row>
    <row r="481" spans="1:19" x14ac:dyDescent="0.35">
      <c r="A481" s="54"/>
      <c r="B481" s="57"/>
      <c r="C481" s="60"/>
      <c r="D481" s="66" t="str">
        <f t="shared" si="49"/>
        <v/>
      </c>
      <c r="E481" s="64" t="str">
        <f>IF(OR(C481="",A481=""),"",IF(A481&lt;'Page de garde'!$G$7,IF(VALUE(RIGHT(C481,2))&lt;50,76,96),INDEX(EC!$C$2:$C$677,MATCH(C481,EC,0))))</f>
        <v/>
      </c>
      <c r="F481" s="33" t="str">
        <f t="shared" si="50"/>
        <v/>
      </c>
      <c r="G481" s="38"/>
      <c r="H481" s="38"/>
      <c r="I481" s="38"/>
      <c r="J481" s="36"/>
      <c r="K481" s="29"/>
      <c r="L481" s="29"/>
      <c r="M481" s="31"/>
      <c r="N481" s="40">
        <f t="shared" si="51"/>
        <v>0</v>
      </c>
      <c r="P481" s="4" t="str">
        <f t="shared" si="52"/>
        <v/>
      </c>
      <c r="Q481" s="4" t="str">
        <f t="shared" si="53"/>
        <v/>
      </c>
      <c r="R481" s="4" t="str">
        <f t="shared" si="54"/>
        <v>/</v>
      </c>
      <c r="S481" s="4" t="str">
        <f t="shared" si="55"/>
        <v/>
      </c>
    </row>
    <row r="482" spans="1:19" x14ac:dyDescent="0.35">
      <c r="A482" s="54"/>
      <c r="B482" s="57"/>
      <c r="C482" s="60"/>
      <c r="D482" s="66" t="str">
        <f t="shared" si="49"/>
        <v/>
      </c>
      <c r="E482" s="64" t="str">
        <f>IF(OR(C482="",A482=""),"",IF(A482&lt;'Page de garde'!$G$7,IF(VALUE(RIGHT(C482,2))&lt;50,76,96),INDEX(EC!$C$2:$C$677,MATCH(C482,EC,0))))</f>
        <v/>
      </c>
      <c r="F482" s="33" t="str">
        <f t="shared" si="50"/>
        <v/>
      </c>
      <c r="G482" s="38"/>
      <c r="H482" s="38"/>
      <c r="I482" s="38"/>
      <c r="J482" s="36"/>
      <c r="K482" s="29"/>
      <c r="L482" s="29"/>
      <c r="M482" s="31"/>
      <c r="N482" s="40">
        <f t="shared" si="51"/>
        <v>0</v>
      </c>
      <c r="P482" s="4" t="str">
        <f t="shared" si="52"/>
        <v/>
      </c>
      <c r="Q482" s="4" t="str">
        <f t="shared" si="53"/>
        <v/>
      </c>
      <c r="R482" s="4" t="str">
        <f t="shared" si="54"/>
        <v>/</v>
      </c>
      <c r="S482" s="4" t="str">
        <f t="shared" si="55"/>
        <v/>
      </c>
    </row>
    <row r="483" spans="1:19" x14ac:dyDescent="0.35">
      <c r="A483" s="54"/>
      <c r="B483" s="57"/>
      <c r="C483" s="60"/>
      <c r="D483" s="66" t="str">
        <f t="shared" si="49"/>
        <v/>
      </c>
      <c r="E483" s="64" t="str">
        <f>IF(OR(C483="",A483=""),"",IF(A483&lt;'Page de garde'!$G$7,IF(VALUE(RIGHT(C483,2))&lt;50,76,96),INDEX(EC!$C$2:$C$677,MATCH(C483,EC,0))))</f>
        <v/>
      </c>
      <c r="F483" s="33" t="str">
        <f t="shared" si="50"/>
        <v/>
      </c>
      <c r="G483" s="38"/>
      <c r="H483" s="38"/>
      <c r="I483" s="38"/>
      <c r="J483" s="36"/>
      <c r="K483" s="29"/>
      <c r="L483" s="29"/>
      <c r="M483" s="31"/>
      <c r="N483" s="40">
        <f t="shared" si="51"/>
        <v>0</v>
      </c>
      <c r="P483" s="4" t="str">
        <f t="shared" si="52"/>
        <v/>
      </c>
      <c r="Q483" s="4" t="str">
        <f t="shared" si="53"/>
        <v/>
      </c>
      <c r="R483" s="4" t="str">
        <f t="shared" si="54"/>
        <v>/</v>
      </c>
      <c r="S483" s="4" t="str">
        <f t="shared" si="55"/>
        <v/>
      </c>
    </row>
    <row r="484" spans="1:19" x14ac:dyDescent="0.35">
      <c r="A484" s="54"/>
      <c r="B484" s="57"/>
      <c r="C484" s="60"/>
      <c r="D484" s="66" t="str">
        <f t="shared" si="49"/>
        <v/>
      </c>
      <c r="E484" s="64" t="str">
        <f>IF(OR(C484="",A484=""),"",IF(A484&lt;'Page de garde'!$G$7,IF(VALUE(RIGHT(C484,2))&lt;50,76,96),INDEX(EC!$C$2:$C$677,MATCH(C484,EC,0))))</f>
        <v/>
      </c>
      <c r="F484" s="33" t="str">
        <f t="shared" si="50"/>
        <v/>
      </c>
      <c r="G484" s="38"/>
      <c r="H484" s="38"/>
      <c r="I484" s="38"/>
      <c r="J484" s="36"/>
      <c r="K484" s="29"/>
      <c r="L484" s="29"/>
      <c r="M484" s="31"/>
      <c r="N484" s="40">
        <f t="shared" si="51"/>
        <v>0</v>
      </c>
      <c r="P484" s="4" t="str">
        <f t="shared" si="52"/>
        <v/>
      </c>
      <c r="Q484" s="4" t="str">
        <f t="shared" si="53"/>
        <v/>
      </c>
      <c r="R484" s="4" t="str">
        <f t="shared" si="54"/>
        <v>/</v>
      </c>
      <c r="S484" s="4" t="str">
        <f t="shared" si="55"/>
        <v/>
      </c>
    </row>
    <row r="485" spans="1:19" x14ac:dyDescent="0.35">
      <c r="A485" s="54"/>
      <c r="B485" s="57"/>
      <c r="C485" s="60"/>
      <c r="D485" s="66" t="str">
        <f t="shared" si="49"/>
        <v/>
      </c>
      <c r="E485" s="64" t="str">
        <f>IF(OR(C485="",A485=""),"",IF(A485&lt;'Page de garde'!$G$7,IF(VALUE(RIGHT(C485,2))&lt;50,76,96),INDEX(EC!$C$2:$C$677,MATCH(C485,EC,0))))</f>
        <v/>
      </c>
      <c r="F485" s="33" t="str">
        <f t="shared" si="50"/>
        <v/>
      </c>
      <c r="G485" s="38"/>
      <c r="H485" s="38"/>
      <c r="I485" s="38"/>
      <c r="J485" s="36"/>
      <c r="K485" s="29"/>
      <c r="L485" s="29"/>
      <c r="M485" s="31"/>
      <c r="N485" s="40">
        <f t="shared" si="51"/>
        <v>0</v>
      </c>
      <c r="P485" s="4" t="str">
        <f t="shared" si="52"/>
        <v/>
      </c>
      <c r="Q485" s="4" t="str">
        <f t="shared" si="53"/>
        <v/>
      </c>
      <c r="R485" s="4" t="str">
        <f t="shared" si="54"/>
        <v>/</v>
      </c>
      <c r="S485" s="4" t="str">
        <f t="shared" si="55"/>
        <v/>
      </c>
    </row>
    <row r="486" spans="1:19" x14ac:dyDescent="0.35">
      <c r="A486" s="54"/>
      <c r="B486" s="57"/>
      <c r="C486" s="60"/>
      <c r="D486" s="66" t="str">
        <f t="shared" si="49"/>
        <v/>
      </c>
      <c r="E486" s="64" t="str">
        <f>IF(OR(C486="",A486=""),"",IF(A486&lt;'Page de garde'!$G$7,IF(VALUE(RIGHT(C486,2))&lt;50,76,96),INDEX(EC!$C$2:$C$677,MATCH(C486,EC,0))))</f>
        <v/>
      </c>
      <c r="F486" s="33" t="str">
        <f t="shared" si="50"/>
        <v/>
      </c>
      <c r="G486" s="38"/>
      <c r="H486" s="38"/>
      <c r="I486" s="38"/>
      <c r="J486" s="36"/>
      <c r="K486" s="29"/>
      <c r="L486" s="29"/>
      <c r="M486" s="31"/>
      <c r="N486" s="40">
        <f t="shared" si="51"/>
        <v>0</v>
      </c>
      <c r="P486" s="4" t="str">
        <f t="shared" si="52"/>
        <v/>
      </c>
      <c r="Q486" s="4" t="str">
        <f t="shared" si="53"/>
        <v/>
      </c>
      <c r="R486" s="4" t="str">
        <f t="shared" si="54"/>
        <v>/</v>
      </c>
      <c r="S486" s="4" t="str">
        <f t="shared" si="55"/>
        <v/>
      </c>
    </row>
    <row r="487" spans="1:19" x14ac:dyDescent="0.35">
      <c r="A487" s="54"/>
      <c r="B487" s="57"/>
      <c r="C487" s="60"/>
      <c r="D487" s="66" t="str">
        <f t="shared" si="49"/>
        <v/>
      </c>
      <c r="E487" s="64" t="str">
        <f>IF(OR(C487="",A487=""),"",IF(A487&lt;'Page de garde'!$G$7,IF(VALUE(RIGHT(C487,2))&lt;50,76,96),INDEX(EC!$C$2:$C$677,MATCH(C487,EC,0))))</f>
        <v/>
      </c>
      <c r="F487" s="33" t="str">
        <f t="shared" si="50"/>
        <v/>
      </c>
      <c r="G487" s="38"/>
      <c r="H487" s="38"/>
      <c r="I487" s="38"/>
      <c r="J487" s="36"/>
      <c r="K487" s="29"/>
      <c r="L487" s="29"/>
      <c r="M487" s="31"/>
      <c r="N487" s="40">
        <f t="shared" si="51"/>
        <v>0</v>
      </c>
      <c r="P487" s="4" t="str">
        <f t="shared" si="52"/>
        <v/>
      </c>
      <c r="Q487" s="4" t="str">
        <f t="shared" si="53"/>
        <v/>
      </c>
      <c r="R487" s="4" t="str">
        <f t="shared" si="54"/>
        <v>/</v>
      </c>
      <c r="S487" s="4" t="str">
        <f t="shared" si="55"/>
        <v/>
      </c>
    </row>
    <row r="488" spans="1:19" x14ac:dyDescent="0.35">
      <c r="A488" s="54"/>
      <c r="B488" s="57"/>
      <c r="C488" s="60"/>
      <c r="D488" s="66" t="str">
        <f t="shared" si="49"/>
        <v/>
      </c>
      <c r="E488" s="64" t="str">
        <f>IF(OR(C488="",A488=""),"",IF(A488&lt;'Page de garde'!$G$7,IF(VALUE(RIGHT(C488,2))&lt;50,76,96),INDEX(EC!$C$2:$C$677,MATCH(C488,EC,0))))</f>
        <v/>
      </c>
      <c r="F488" s="33" t="str">
        <f t="shared" si="50"/>
        <v/>
      </c>
      <c r="G488" s="38"/>
      <c r="H488" s="38"/>
      <c r="I488" s="38"/>
      <c r="J488" s="36"/>
      <c r="K488" s="29"/>
      <c r="L488" s="29"/>
      <c r="M488" s="31"/>
      <c r="N488" s="40">
        <f t="shared" si="51"/>
        <v>0</v>
      </c>
      <c r="P488" s="4" t="str">
        <f t="shared" si="52"/>
        <v/>
      </c>
      <c r="Q488" s="4" t="str">
        <f t="shared" si="53"/>
        <v/>
      </c>
      <c r="R488" s="4" t="str">
        <f t="shared" si="54"/>
        <v>/</v>
      </c>
      <c r="S488" s="4" t="str">
        <f t="shared" si="55"/>
        <v/>
      </c>
    </row>
    <row r="489" spans="1:19" x14ac:dyDescent="0.35">
      <c r="A489" s="54"/>
      <c r="B489" s="57"/>
      <c r="C489" s="60"/>
      <c r="D489" s="66" t="str">
        <f t="shared" si="49"/>
        <v/>
      </c>
      <c r="E489" s="64" t="str">
        <f>IF(OR(C489="",A489=""),"",IF(A489&lt;'Page de garde'!$G$7,IF(VALUE(RIGHT(C489,2))&lt;50,76,96),INDEX(EC!$C$2:$C$677,MATCH(C489,EC,0))))</f>
        <v/>
      </c>
      <c r="F489" s="33" t="str">
        <f t="shared" si="50"/>
        <v/>
      </c>
      <c r="G489" s="38"/>
      <c r="H489" s="38"/>
      <c r="I489" s="38"/>
      <c r="J489" s="36"/>
      <c r="K489" s="29"/>
      <c r="L489" s="29"/>
      <c r="M489" s="31"/>
      <c r="N489" s="40">
        <f t="shared" si="51"/>
        <v>0</v>
      </c>
      <c r="P489" s="4" t="str">
        <f t="shared" si="52"/>
        <v/>
      </c>
      <c r="Q489" s="4" t="str">
        <f t="shared" si="53"/>
        <v/>
      </c>
      <c r="R489" s="4" t="str">
        <f t="shared" si="54"/>
        <v>/</v>
      </c>
      <c r="S489" s="4" t="str">
        <f t="shared" si="55"/>
        <v/>
      </c>
    </row>
    <row r="490" spans="1:19" x14ac:dyDescent="0.35">
      <c r="A490" s="54"/>
      <c r="B490" s="57"/>
      <c r="C490" s="60"/>
      <c r="D490" s="66" t="str">
        <f t="shared" si="49"/>
        <v/>
      </c>
      <c r="E490" s="64" t="str">
        <f>IF(OR(C490="",A490=""),"",IF(A490&lt;'Page de garde'!$G$7,IF(VALUE(RIGHT(C490,2))&lt;50,76,96),INDEX(EC!$C$2:$C$677,MATCH(C490,EC,0))))</f>
        <v/>
      </c>
      <c r="F490" s="33" t="str">
        <f t="shared" si="50"/>
        <v/>
      </c>
      <c r="G490" s="38"/>
      <c r="H490" s="38"/>
      <c r="I490" s="38"/>
      <c r="J490" s="36"/>
      <c r="K490" s="29"/>
      <c r="L490" s="29"/>
      <c r="M490" s="31"/>
      <c r="N490" s="40">
        <f t="shared" si="51"/>
        <v>0</v>
      </c>
      <c r="P490" s="4" t="str">
        <f t="shared" si="52"/>
        <v/>
      </c>
      <c r="Q490" s="4" t="str">
        <f t="shared" si="53"/>
        <v/>
      </c>
      <c r="R490" s="4" t="str">
        <f t="shared" si="54"/>
        <v>/</v>
      </c>
      <c r="S490" s="4" t="str">
        <f t="shared" si="55"/>
        <v/>
      </c>
    </row>
    <row r="491" spans="1:19" x14ac:dyDescent="0.35">
      <c r="A491" s="54"/>
      <c r="B491" s="57"/>
      <c r="C491" s="60"/>
      <c r="D491" s="66" t="str">
        <f t="shared" si="49"/>
        <v/>
      </c>
      <c r="E491" s="64" t="str">
        <f>IF(OR(C491="",A491=""),"",IF(A491&lt;'Page de garde'!$G$7,IF(VALUE(RIGHT(C491,2))&lt;50,76,96),INDEX(EC!$C$2:$C$677,MATCH(C491,EC,0))))</f>
        <v/>
      </c>
      <c r="F491" s="33" t="str">
        <f t="shared" si="50"/>
        <v/>
      </c>
      <c r="G491" s="38"/>
      <c r="H491" s="38"/>
      <c r="I491" s="38"/>
      <c r="J491" s="36"/>
      <c r="K491" s="29"/>
      <c r="L491" s="29"/>
      <c r="M491" s="31"/>
      <c r="N491" s="40">
        <f t="shared" si="51"/>
        <v>0</v>
      </c>
      <c r="P491" s="4" t="str">
        <f t="shared" si="52"/>
        <v/>
      </c>
      <c r="Q491" s="4" t="str">
        <f t="shared" si="53"/>
        <v/>
      </c>
      <c r="R491" s="4" t="str">
        <f t="shared" si="54"/>
        <v>/</v>
      </c>
      <c r="S491" s="4" t="str">
        <f t="shared" si="55"/>
        <v/>
      </c>
    </row>
    <row r="492" spans="1:19" x14ac:dyDescent="0.35">
      <c r="A492" s="54"/>
      <c r="B492" s="57"/>
      <c r="C492" s="60"/>
      <c r="D492" s="66" t="str">
        <f t="shared" si="49"/>
        <v/>
      </c>
      <c r="E492" s="64" t="str">
        <f>IF(OR(C492="",A492=""),"",IF(A492&lt;'Page de garde'!$G$7,IF(VALUE(RIGHT(C492,2))&lt;50,76,96),INDEX(EC!$C$2:$C$677,MATCH(C492,EC,0))))</f>
        <v/>
      </c>
      <c r="F492" s="33" t="str">
        <f t="shared" si="50"/>
        <v/>
      </c>
      <c r="G492" s="38"/>
      <c r="H492" s="38"/>
      <c r="I492" s="38"/>
      <c r="J492" s="36"/>
      <c r="K492" s="29"/>
      <c r="L492" s="29"/>
      <c r="M492" s="31"/>
      <c r="N492" s="40">
        <f t="shared" si="51"/>
        <v>0</v>
      </c>
      <c r="P492" s="4" t="str">
        <f t="shared" si="52"/>
        <v/>
      </c>
      <c r="Q492" s="4" t="str">
        <f t="shared" si="53"/>
        <v/>
      </c>
      <c r="R492" s="4" t="str">
        <f t="shared" si="54"/>
        <v>/</v>
      </c>
      <c r="S492" s="4" t="str">
        <f t="shared" si="55"/>
        <v/>
      </c>
    </row>
    <row r="493" spans="1:19" x14ac:dyDescent="0.35">
      <c r="A493" s="54"/>
      <c r="B493" s="57"/>
      <c r="C493" s="60"/>
      <c r="D493" s="66" t="str">
        <f t="shared" si="49"/>
        <v/>
      </c>
      <c r="E493" s="64" t="str">
        <f>IF(OR(C493="",A493=""),"",IF(A493&lt;'Page de garde'!$G$7,IF(VALUE(RIGHT(C493,2))&lt;50,76,96),INDEX(EC!$C$2:$C$677,MATCH(C493,EC,0))))</f>
        <v/>
      </c>
      <c r="F493" s="33" t="str">
        <f t="shared" si="50"/>
        <v/>
      </c>
      <c r="G493" s="38"/>
      <c r="H493" s="38"/>
      <c r="I493" s="38"/>
      <c r="J493" s="36"/>
      <c r="K493" s="29"/>
      <c r="L493" s="29"/>
      <c r="M493" s="31"/>
      <c r="N493" s="40">
        <f t="shared" si="51"/>
        <v>0</v>
      </c>
      <c r="P493" s="4" t="str">
        <f t="shared" si="52"/>
        <v/>
      </c>
      <c r="Q493" s="4" t="str">
        <f t="shared" si="53"/>
        <v/>
      </c>
      <c r="R493" s="4" t="str">
        <f t="shared" si="54"/>
        <v>/</v>
      </c>
      <c r="S493" s="4" t="str">
        <f t="shared" si="55"/>
        <v/>
      </c>
    </row>
    <row r="494" spans="1:19" x14ac:dyDescent="0.35">
      <c r="A494" s="54"/>
      <c r="B494" s="57"/>
      <c r="C494" s="60"/>
      <c r="D494" s="66" t="str">
        <f t="shared" si="49"/>
        <v/>
      </c>
      <c r="E494" s="64" t="str">
        <f>IF(OR(C494="",A494=""),"",IF(A494&lt;'Page de garde'!$G$7,IF(VALUE(RIGHT(C494,2))&lt;50,76,96),INDEX(EC!$C$2:$C$677,MATCH(C494,EC,0))))</f>
        <v/>
      </c>
      <c r="F494" s="33" t="str">
        <f t="shared" si="50"/>
        <v/>
      </c>
      <c r="G494" s="38"/>
      <c r="H494" s="38"/>
      <c r="I494" s="38"/>
      <c r="J494" s="36"/>
      <c r="K494" s="29"/>
      <c r="L494" s="29"/>
      <c r="M494" s="31"/>
      <c r="N494" s="40">
        <f t="shared" si="51"/>
        <v>0</v>
      </c>
      <c r="P494" s="4" t="str">
        <f t="shared" si="52"/>
        <v/>
      </c>
      <c r="Q494" s="4" t="str">
        <f t="shared" si="53"/>
        <v/>
      </c>
      <c r="R494" s="4" t="str">
        <f t="shared" si="54"/>
        <v>/</v>
      </c>
      <c r="S494" s="4" t="str">
        <f t="shared" si="55"/>
        <v/>
      </c>
    </row>
    <row r="495" spans="1:19" x14ac:dyDescent="0.35">
      <c r="A495" s="54"/>
      <c r="B495" s="57"/>
      <c r="C495" s="60"/>
      <c r="D495" s="66" t="str">
        <f t="shared" si="49"/>
        <v/>
      </c>
      <c r="E495" s="64" t="str">
        <f>IF(OR(C495="",A495=""),"",IF(A495&lt;'Page de garde'!$G$7,IF(VALUE(RIGHT(C495,2))&lt;50,76,96),INDEX(EC!$C$2:$C$677,MATCH(C495,EC,0))))</f>
        <v/>
      </c>
      <c r="F495" s="33" t="str">
        <f t="shared" si="50"/>
        <v/>
      </c>
      <c r="G495" s="38"/>
      <c r="H495" s="38"/>
      <c r="I495" s="38"/>
      <c r="J495" s="36"/>
      <c r="K495" s="29"/>
      <c r="L495" s="29"/>
      <c r="M495" s="31"/>
      <c r="N495" s="40">
        <f t="shared" si="51"/>
        <v>0</v>
      </c>
      <c r="P495" s="4" t="str">
        <f t="shared" si="52"/>
        <v/>
      </c>
      <c r="Q495" s="4" t="str">
        <f t="shared" si="53"/>
        <v/>
      </c>
      <c r="R495" s="4" t="str">
        <f t="shared" si="54"/>
        <v>/</v>
      </c>
      <c r="S495" s="4" t="str">
        <f t="shared" si="55"/>
        <v/>
      </c>
    </row>
    <row r="496" spans="1:19" x14ac:dyDescent="0.35">
      <c r="A496" s="54"/>
      <c r="B496" s="57"/>
      <c r="C496" s="60"/>
      <c r="D496" s="66" t="str">
        <f t="shared" si="49"/>
        <v/>
      </c>
      <c r="E496" s="64" t="str">
        <f>IF(OR(C496="",A496=""),"",IF(A496&lt;'Page de garde'!$G$7,IF(VALUE(RIGHT(C496,2))&lt;50,76,96),INDEX(EC!$C$2:$C$677,MATCH(C496,EC,0))))</f>
        <v/>
      </c>
      <c r="F496" s="33" t="str">
        <f t="shared" si="50"/>
        <v/>
      </c>
      <c r="G496" s="38"/>
      <c r="H496" s="38"/>
      <c r="I496" s="38"/>
      <c r="J496" s="36"/>
      <c r="K496" s="29"/>
      <c r="L496" s="29"/>
      <c r="M496" s="31"/>
      <c r="N496" s="40">
        <f t="shared" si="51"/>
        <v>0</v>
      </c>
      <c r="P496" s="4" t="str">
        <f t="shared" si="52"/>
        <v/>
      </c>
      <c r="Q496" s="4" t="str">
        <f t="shared" si="53"/>
        <v/>
      </c>
      <c r="R496" s="4" t="str">
        <f t="shared" si="54"/>
        <v>/</v>
      </c>
      <c r="S496" s="4" t="str">
        <f t="shared" si="55"/>
        <v/>
      </c>
    </row>
    <row r="497" spans="1:19" x14ac:dyDescent="0.35">
      <c r="A497" s="54"/>
      <c r="B497" s="57"/>
      <c r="C497" s="60"/>
      <c r="D497" s="66" t="str">
        <f t="shared" si="49"/>
        <v/>
      </c>
      <c r="E497" s="64" t="str">
        <f>IF(OR(C497="",A497=""),"",IF(A497&lt;'Page de garde'!$G$7,IF(VALUE(RIGHT(C497,2))&lt;50,76,96),INDEX(EC!$C$2:$C$677,MATCH(C497,EC,0))))</f>
        <v/>
      </c>
      <c r="F497" s="33" t="str">
        <f t="shared" si="50"/>
        <v/>
      </c>
      <c r="G497" s="38"/>
      <c r="H497" s="38"/>
      <c r="I497" s="38"/>
      <c r="J497" s="36"/>
      <c r="K497" s="29"/>
      <c r="L497" s="29"/>
      <c r="M497" s="31"/>
      <c r="N497" s="40">
        <f t="shared" si="51"/>
        <v>0</v>
      </c>
      <c r="P497" s="4" t="str">
        <f t="shared" si="52"/>
        <v/>
      </c>
      <c r="Q497" s="4" t="str">
        <f t="shared" si="53"/>
        <v/>
      </c>
      <c r="R497" s="4" t="str">
        <f t="shared" si="54"/>
        <v>/</v>
      </c>
      <c r="S497" s="4" t="str">
        <f t="shared" si="55"/>
        <v/>
      </c>
    </row>
    <row r="498" spans="1:19" x14ac:dyDescent="0.35">
      <c r="A498" s="54"/>
      <c r="B498" s="57"/>
      <c r="C498" s="60"/>
      <c r="D498" s="66" t="str">
        <f t="shared" si="49"/>
        <v/>
      </c>
      <c r="E498" s="64" t="str">
        <f>IF(OR(C498="",A498=""),"",IF(A498&lt;'Page de garde'!$G$7,IF(VALUE(RIGHT(C498,2))&lt;50,76,96),INDEX(EC!$C$2:$C$677,MATCH(C498,EC,0))))</f>
        <v/>
      </c>
      <c r="F498" s="33" t="str">
        <f t="shared" si="50"/>
        <v/>
      </c>
      <c r="G498" s="38"/>
      <c r="H498" s="38"/>
      <c r="I498" s="38"/>
      <c r="J498" s="36"/>
      <c r="K498" s="29"/>
      <c r="L498" s="29"/>
      <c r="M498" s="31"/>
      <c r="N498" s="40">
        <f t="shared" si="51"/>
        <v>0</v>
      </c>
      <c r="P498" s="4" t="str">
        <f t="shared" si="52"/>
        <v/>
      </c>
      <c r="Q498" s="4" t="str">
        <f t="shared" si="53"/>
        <v/>
      </c>
      <c r="R498" s="4" t="str">
        <f t="shared" si="54"/>
        <v>/</v>
      </c>
      <c r="S498" s="4" t="str">
        <f t="shared" si="55"/>
        <v/>
      </c>
    </row>
    <row r="499" spans="1:19" x14ac:dyDescent="0.35">
      <c r="A499" s="54"/>
      <c r="B499" s="57"/>
      <c r="C499" s="60"/>
      <c r="D499" s="66" t="str">
        <f t="shared" si="49"/>
        <v/>
      </c>
      <c r="E499" s="64" t="str">
        <f>IF(OR(C499="",A499=""),"",IF(A499&lt;'Page de garde'!$G$7,IF(VALUE(RIGHT(C499,2))&lt;50,76,96),INDEX(EC!$C$2:$C$677,MATCH(C499,EC,0))))</f>
        <v/>
      </c>
      <c r="F499" s="33" t="str">
        <f t="shared" si="50"/>
        <v/>
      </c>
      <c r="G499" s="38"/>
      <c r="H499" s="38"/>
      <c r="I499" s="38"/>
      <c r="J499" s="36"/>
      <c r="K499" s="29"/>
      <c r="L499" s="29"/>
      <c r="M499" s="31"/>
      <c r="N499" s="40">
        <f t="shared" si="51"/>
        <v>0</v>
      </c>
      <c r="P499" s="4" t="str">
        <f t="shared" si="52"/>
        <v/>
      </c>
      <c r="Q499" s="4" t="str">
        <f t="shared" si="53"/>
        <v/>
      </c>
      <c r="R499" s="4" t="str">
        <f t="shared" si="54"/>
        <v>/</v>
      </c>
      <c r="S499" s="4" t="str">
        <f t="shared" si="55"/>
        <v/>
      </c>
    </row>
    <row r="500" spans="1:19" x14ac:dyDescent="0.35">
      <c r="A500" s="54"/>
      <c r="B500" s="57"/>
      <c r="C500" s="60"/>
      <c r="D500" s="66" t="str">
        <f t="shared" si="49"/>
        <v/>
      </c>
      <c r="E500" s="64" t="str">
        <f>IF(OR(C500="",A500=""),"",IF(A500&lt;'Page de garde'!$G$7,IF(VALUE(RIGHT(C500,2))&lt;50,76,96),INDEX(EC!$C$2:$C$677,MATCH(C500,EC,0))))</f>
        <v/>
      </c>
      <c r="F500" s="33" t="str">
        <f t="shared" si="50"/>
        <v/>
      </c>
      <c r="G500" s="38"/>
      <c r="H500" s="38"/>
      <c r="I500" s="38"/>
      <c r="J500" s="36"/>
      <c r="K500" s="29"/>
      <c r="L500" s="29"/>
      <c r="M500" s="31"/>
      <c r="N500" s="40">
        <f t="shared" si="51"/>
        <v>0</v>
      </c>
      <c r="P500" s="4" t="str">
        <f t="shared" si="52"/>
        <v/>
      </c>
      <c r="Q500" s="4" t="str">
        <f t="shared" si="53"/>
        <v/>
      </c>
      <c r="R500" s="4" t="str">
        <f t="shared" si="54"/>
        <v>/</v>
      </c>
      <c r="S500" s="4" t="str">
        <f t="shared" si="55"/>
        <v/>
      </c>
    </row>
    <row r="501" spans="1:19" x14ac:dyDescent="0.35">
      <c r="A501" s="54"/>
      <c r="B501" s="57"/>
      <c r="C501" s="60"/>
      <c r="D501" s="66" t="str">
        <f t="shared" si="49"/>
        <v/>
      </c>
      <c r="E501" s="64" t="str">
        <f>IF(OR(C501="",A501=""),"",IF(A501&lt;'Page de garde'!$G$7,IF(VALUE(RIGHT(C501,2))&lt;50,76,96),INDEX(EC!$C$2:$C$677,MATCH(C501,EC,0))))</f>
        <v/>
      </c>
      <c r="F501" s="33" t="str">
        <f t="shared" si="50"/>
        <v/>
      </c>
      <c r="G501" s="38"/>
      <c r="H501" s="38"/>
      <c r="I501" s="38"/>
      <c r="J501" s="36"/>
      <c r="K501" s="29"/>
      <c r="L501" s="29"/>
      <c r="M501" s="31"/>
      <c r="N501" s="40">
        <f t="shared" si="51"/>
        <v>0</v>
      </c>
      <c r="P501" s="4" t="str">
        <f t="shared" si="52"/>
        <v/>
      </c>
      <c r="Q501" s="4" t="str">
        <f t="shared" si="53"/>
        <v/>
      </c>
      <c r="R501" s="4" t="str">
        <f t="shared" si="54"/>
        <v>/</v>
      </c>
      <c r="S501" s="4" t="str">
        <f t="shared" si="55"/>
        <v/>
      </c>
    </row>
    <row r="502" spans="1:19" x14ac:dyDescent="0.35">
      <c r="A502" s="54"/>
      <c r="B502" s="57"/>
      <c r="C502" s="60"/>
      <c r="D502" s="66" t="str">
        <f t="shared" si="49"/>
        <v/>
      </c>
      <c r="E502" s="64" t="str">
        <f>IF(OR(C502="",A502=""),"",IF(A502&lt;'Page de garde'!$G$7,IF(VALUE(RIGHT(C502,2))&lt;50,76,96),INDEX(EC!$C$2:$C$677,MATCH(C502,EC,0))))</f>
        <v/>
      </c>
      <c r="F502" s="33" t="str">
        <f t="shared" si="50"/>
        <v/>
      </c>
      <c r="G502" s="38"/>
      <c r="H502" s="38"/>
      <c r="I502" s="38"/>
      <c r="J502" s="36"/>
      <c r="K502" s="29"/>
      <c r="L502" s="29"/>
      <c r="M502" s="31"/>
      <c r="N502" s="40">
        <f t="shared" si="51"/>
        <v>0</v>
      </c>
      <c r="P502" s="4" t="str">
        <f t="shared" si="52"/>
        <v/>
      </c>
      <c r="Q502" s="4" t="str">
        <f t="shared" si="53"/>
        <v/>
      </c>
      <c r="R502" s="4" t="str">
        <f t="shared" si="54"/>
        <v>/</v>
      </c>
      <c r="S502" s="4" t="str">
        <f t="shared" si="55"/>
        <v/>
      </c>
    </row>
    <row r="503" spans="1:19" x14ac:dyDescent="0.35">
      <c r="A503" s="54"/>
      <c r="B503" s="57"/>
      <c r="C503" s="60"/>
      <c r="D503" s="66" t="str">
        <f t="shared" si="49"/>
        <v/>
      </c>
      <c r="E503" s="64" t="str">
        <f>IF(OR(C503="",A503=""),"",IF(A503&lt;'Page de garde'!$G$7,IF(VALUE(RIGHT(C503,2))&lt;50,76,96),INDEX(EC!$C$2:$C$677,MATCH(C503,EC,0))))</f>
        <v/>
      </c>
      <c r="F503" s="33" t="str">
        <f t="shared" si="50"/>
        <v/>
      </c>
      <c r="G503" s="38"/>
      <c r="H503" s="38"/>
      <c r="I503" s="38"/>
      <c r="J503" s="36"/>
      <c r="K503" s="29"/>
      <c r="L503" s="29"/>
      <c r="M503" s="31"/>
      <c r="N503" s="40">
        <f t="shared" si="51"/>
        <v>0</v>
      </c>
      <c r="P503" s="4" t="str">
        <f t="shared" si="52"/>
        <v/>
      </c>
      <c r="Q503" s="4" t="str">
        <f t="shared" si="53"/>
        <v/>
      </c>
      <c r="R503" s="4" t="str">
        <f t="shared" si="54"/>
        <v>/</v>
      </c>
      <c r="S503" s="4" t="str">
        <f t="shared" si="55"/>
        <v/>
      </c>
    </row>
    <row r="504" spans="1:19" ht="15" thickBot="1" x14ac:dyDescent="0.4">
      <c r="A504" s="55"/>
      <c r="B504" s="58"/>
      <c r="C504" s="61"/>
      <c r="D504" s="67" t="str">
        <f t="shared" si="49"/>
        <v/>
      </c>
      <c r="E504" s="65" t="str">
        <f>IF(OR(C504="",A504=""),"",IF(A504&lt;'Page de garde'!$G$7,IF(VALUE(RIGHT(C504,2))&lt;50,76,96),INDEX(EC!$C$2:$C$677,MATCH(C504,EC,0))))</f>
        <v/>
      </c>
      <c r="F504" s="34" t="str">
        <f t="shared" si="50"/>
        <v/>
      </c>
      <c r="G504" s="170"/>
      <c r="H504" s="170"/>
      <c r="I504" s="170"/>
      <c r="J504" s="171"/>
      <c r="K504" s="172"/>
      <c r="L504" s="172"/>
      <c r="M504" s="173"/>
      <c r="N504" s="41">
        <f t="shared" si="51"/>
        <v>0</v>
      </c>
      <c r="P504" s="4" t="str">
        <f t="shared" si="52"/>
        <v/>
      </c>
      <c r="Q504" s="4" t="str">
        <f t="shared" si="53"/>
        <v/>
      </c>
      <c r="R504" s="4" t="str">
        <f t="shared" si="54"/>
        <v>/</v>
      </c>
      <c r="S504" s="4" t="str">
        <f t="shared" si="55"/>
        <v/>
      </c>
    </row>
    <row r="505" spans="1:19" ht="16.2" x14ac:dyDescent="0.35">
      <c r="A505" s="9"/>
      <c r="N505" s="288">
        <f>SUBTOTAL(9,N5:N504)</f>
        <v>0</v>
      </c>
    </row>
  </sheetData>
  <sheetProtection autoFilter="0"/>
  <phoneticPr fontId="0" type="noConversion"/>
  <conditionalFormatting sqref="N5:N504">
    <cfRule type="cellIs" dxfId="17" priority="1" stopIfTrue="1" operator="lessThan">
      <formula>0</formula>
    </cfRule>
  </conditionalFormatting>
  <dataValidations count="4">
    <dataValidation type="list" allowBlank="1" showInputMessage="1" showErrorMessage="1" errorTitle="Begrotingsjaar:" error="ONGELDIGE INVOER" sqref="A6:A504">
      <formula1>Jaren</formula1>
    </dataValidation>
    <dataValidation type="textLength" allowBlank="1" showInputMessage="1" showErrorMessage="1" errorTitle="Functionele code:" error="Het minimum aantal karakters is 3 en het maximaal aantal is 5." sqref="B5:B504">
      <formula1>3</formula1>
      <formula2>5</formula2>
    </dataValidation>
    <dataValidation type="list" allowBlank="1" showInputMessage="1" showErrorMessage="1" errorTitle="Code économique:" error="Code économique non autorisé!" sqref="C5:C504">
      <formula1>EC</formula1>
    </dataValidation>
    <dataValidation type="list" allowBlank="1" showInputMessage="1" showErrorMessage="1" errorTitle="Exercice" error="Input invalide" sqref="A5">
      <formula1>Jaren</formula1>
    </dataValidation>
  </dataValidations>
  <pageMargins left="0.43" right="0.2" top="1" bottom="1" header="0.5" footer="0.5"/>
  <pageSetup paperSize="9" scale="90" orientation="landscape" horizontalDpi="300" verticalDpi="300" r:id="rId1"/>
  <headerFooter alignWithMargins="0">
    <oddFooter>&amp;R&amp;A</oddFooter>
  </headerFooter>
  <ignoredErrors>
    <ignoredError sqref="N5:N53 N54:N74 N75:N91 N92:N157 N158:N249" unlocked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pageSetUpPr fitToPage="1"/>
  </sheetPr>
  <dimension ref="A1:O40"/>
  <sheetViews>
    <sheetView showGridLines="0" tabSelected="1" workbookViewId="0">
      <selection activeCell="A4" sqref="A4"/>
    </sheetView>
  </sheetViews>
  <sheetFormatPr baseColWidth="10" defaultColWidth="9.109375" defaultRowHeight="14.4" x14ac:dyDescent="0.25"/>
  <cols>
    <col min="1" max="4" width="9.109375" style="175" customWidth="1"/>
    <col min="5" max="5" width="37" style="175" customWidth="1"/>
    <col min="6" max="6" width="15.33203125" style="176" customWidth="1"/>
    <col min="7" max="7" width="16" style="176" customWidth="1"/>
    <col min="8" max="8" width="15.33203125" style="176" customWidth="1"/>
    <col min="9" max="9" width="14.5546875" style="175" bestFit="1" customWidth="1"/>
    <col min="10" max="10" width="19.44140625" style="175" bestFit="1" customWidth="1"/>
    <col min="11" max="11" width="2.109375" style="175" hidden="1" customWidth="1"/>
    <col min="12" max="12" width="13.109375" style="176" bestFit="1" customWidth="1"/>
    <col min="13" max="15" width="9.109375" style="176" customWidth="1"/>
    <col min="16" max="16384" width="9.109375" style="175"/>
  </cols>
  <sheetData>
    <row r="1" spans="1:10" ht="15" thickBot="1" x14ac:dyDescent="0.3"/>
    <row r="2" spans="1:10" ht="12.9" customHeight="1" thickBot="1" x14ac:dyDescent="0.3">
      <c r="A2" s="177" t="str">
        <f>"1. SYNTHESE DU BUDGET " &amp; 'Page de garde'!$G$7 &amp; " SERVICE ORDINAIRE"</f>
        <v>1. SYNTHESE DU BUDGET 2021 SERVICE ORDINAIRE</v>
      </c>
      <c r="B2" s="178"/>
      <c r="C2" s="178"/>
      <c r="D2" s="178"/>
      <c r="E2" s="178"/>
      <c r="F2" s="179"/>
      <c r="G2" s="305"/>
      <c r="H2" s="306"/>
    </row>
    <row r="3" spans="1:10" ht="12.9" customHeight="1" x14ac:dyDescent="0.25">
      <c r="A3" s="180"/>
    </row>
    <row r="4" spans="1:10" ht="12.9" customHeight="1" x14ac:dyDescent="0.25">
      <c r="A4" s="181" t="str">
        <f>"Résultat budgétaire global estimé " &amp; 'Page de garde'!$G$7-1 &amp; " (après modifications)  / Résultat du compte budgétaire  " &amp; 'Page de garde'!$G$7-1</f>
        <v>Résultat budgétaire global estimé 2020 (après modifications)  / Résultat du compte budgétaire  2020</v>
      </c>
      <c r="B4" s="182"/>
      <c r="C4" s="182"/>
      <c r="D4" s="182"/>
      <c r="E4" s="182"/>
      <c r="F4" s="183"/>
      <c r="G4" s="184"/>
      <c r="H4" s="207"/>
    </row>
    <row r="5" spans="1:10" ht="12.9" customHeight="1" x14ac:dyDescent="0.25"/>
    <row r="6" spans="1:10" ht="12.9" customHeight="1" x14ac:dyDescent="0.25">
      <c r="A6" s="185" t="str">
        <f>"Budget " &amp; 'Page de garde'!$G$7</f>
        <v>Budget 2021</v>
      </c>
      <c r="B6" s="186"/>
      <c r="C6" s="186"/>
      <c r="D6" s="186"/>
      <c r="E6" s="187"/>
      <c r="F6" s="188"/>
      <c r="G6" s="189" t="s">
        <v>561</v>
      </c>
      <c r="H6" s="188"/>
    </row>
    <row r="7" spans="1:10" ht="12.9" customHeight="1" x14ac:dyDescent="0.25">
      <c r="A7" s="307" t="s">
        <v>420</v>
      </c>
      <c r="B7" s="308"/>
      <c r="C7" s="308"/>
      <c r="D7" s="308"/>
      <c r="E7" s="308"/>
      <c r="F7" s="190">
        <f>SUMIF(Recettes!Q5:Q504,"G",Recettes!N5:N504)-F10-F13-SUMIF(Recettes!C5:C504,95101,Recettes!N5:N504)</f>
        <v>0</v>
      </c>
      <c r="G7" s="191"/>
      <c r="H7" s="191"/>
      <c r="I7" s="294"/>
      <c r="J7" s="202"/>
    </row>
    <row r="8" spans="1:10" ht="12.9" customHeight="1" x14ac:dyDescent="0.25">
      <c r="A8" s="303" t="s">
        <v>421</v>
      </c>
      <c r="B8" s="304"/>
      <c r="C8" s="304"/>
      <c r="D8" s="304"/>
      <c r="E8" s="304"/>
      <c r="F8" s="194">
        <f>SUMIF(Dépenses!Q5:Q504,"G",Dépenses!N5:N504)-F11-F14-SUMIF(Dépenses!C5:C504,99101,Dépenses!N5:N504)</f>
        <v>0</v>
      </c>
      <c r="G8" s="195"/>
      <c r="H8" s="195"/>
      <c r="I8" s="294"/>
      <c r="J8" s="202"/>
    </row>
    <row r="9" spans="1:10" ht="12.9" customHeight="1" x14ac:dyDescent="0.25">
      <c r="A9" s="303"/>
      <c r="B9" s="304"/>
      <c r="C9" s="304"/>
      <c r="D9" s="304"/>
      <c r="E9" s="304"/>
      <c r="F9" s="194"/>
      <c r="G9" s="197">
        <f>F7-F8</f>
        <v>0</v>
      </c>
      <c r="H9" s="195"/>
      <c r="I9" s="294"/>
      <c r="J9" s="203"/>
    </row>
    <row r="10" spans="1:10" ht="12.9" customHeight="1" x14ac:dyDescent="0.25">
      <c r="A10" s="303" t="str">
        <f>"Recettes exercices précédents (en "&amp;'Page de garde'!$G$7&amp;")"</f>
        <v>Recettes exercices précédents (en 2021)</v>
      </c>
      <c r="B10" s="304"/>
      <c r="C10" s="304"/>
      <c r="D10" s="304"/>
      <c r="E10" s="304"/>
      <c r="F10" s="194">
        <f>SUMIF(Recettes!E5:E504,66,Recettes!N5:N504)-SUMIF(Recettes!C5:C504,95101,Recettes!N5:N504)</f>
        <v>0</v>
      </c>
      <c r="G10" s="195"/>
      <c r="H10" s="195"/>
    </row>
    <row r="11" spans="1:10" ht="12.9" customHeight="1" x14ac:dyDescent="0.25">
      <c r="A11" s="303" t="str">
        <f>"Dépenses exercices précédents (en "&amp;'Page de garde'!$G$7 &amp; ")"</f>
        <v>Dépenses exercices précédents (en 2021)</v>
      </c>
      <c r="B11" s="304"/>
      <c r="C11" s="304"/>
      <c r="D11" s="304"/>
      <c r="E11" s="304"/>
      <c r="F11" s="194">
        <f>SUMIF(Dépenses!E5:E504,76,Dépenses!N5:N504)-SUMIF(Dépenses!C5:C504,99101,Dépenses!N5:N504)</f>
        <v>0</v>
      </c>
      <c r="G11" s="195"/>
      <c r="H11" s="195"/>
      <c r="J11" s="198"/>
    </row>
    <row r="12" spans="1:10" ht="12.9" customHeight="1" x14ac:dyDescent="0.25">
      <c r="A12" s="192"/>
      <c r="B12" s="193"/>
      <c r="C12" s="193"/>
      <c r="D12" s="193"/>
      <c r="E12" s="193"/>
      <c r="F12" s="194"/>
      <c r="G12" s="197">
        <f>F10-F11</f>
        <v>0</v>
      </c>
      <c r="H12" s="195"/>
    </row>
    <row r="13" spans="1:10" ht="12.9" customHeight="1" x14ac:dyDescent="0.25">
      <c r="A13" s="192" t="s">
        <v>422</v>
      </c>
      <c r="B13" s="193"/>
      <c r="C13" s="193"/>
      <c r="D13" s="193"/>
      <c r="E13" s="193"/>
      <c r="F13" s="194">
        <f>SUMIF(Recettes!E5:E504,68,Recettes!N5:N504)</f>
        <v>0</v>
      </c>
      <c r="G13" s="195"/>
      <c r="H13" s="195"/>
    </row>
    <row r="14" spans="1:10" ht="12.9" customHeight="1" x14ac:dyDescent="0.25">
      <c r="A14" s="192" t="s">
        <v>423</v>
      </c>
      <c r="B14" s="193"/>
      <c r="C14" s="193"/>
      <c r="D14" s="193"/>
      <c r="E14" s="193"/>
      <c r="F14" s="194">
        <f>SUMIF(Dépenses!E5:E504,78,Dépenses!N5:N504)</f>
        <v>0</v>
      </c>
      <c r="G14" s="195"/>
      <c r="H14" s="195"/>
    </row>
    <row r="15" spans="1:10" ht="12.9" customHeight="1" x14ac:dyDescent="0.25">
      <c r="A15" s="192"/>
      <c r="B15" s="193"/>
      <c r="C15" s="193"/>
      <c r="D15" s="193"/>
      <c r="E15" s="193"/>
      <c r="F15" s="194"/>
      <c r="G15" s="197">
        <f>F13-F14</f>
        <v>0</v>
      </c>
      <c r="H15" s="295"/>
    </row>
    <row r="16" spans="1:10" ht="12.9" customHeight="1" x14ac:dyDescent="0.25">
      <c r="A16" s="301" t="str">
        <f>"Résultat budgétaire estimé " &amp; 'Page de garde'!$G$7 &amp; " (+ ou -)"</f>
        <v>Résultat budgétaire estimé 2021 (+ ou -)</v>
      </c>
      <c r="B16" s="302"/>
      <c r="C16" s="302"/>
      <c r="D16" s="302"/>
      <c r="E16" s="302"/>
      <c r="F16" s="188"/>
      <c r="G16" s="188"/>
      <c r="H16" s="199">
        <f>G9+G12+G15</f>
        <v>0</v>
      </c>
    </row>
    <row r="17" spans="1:11" ht="12.9" customHeight="1" x14ac:dyDescent="0.25"/>
    <row r="18" spans="1:11" ht="12.9" customHeight="1" x14ac:dyDescent="0.25">
      <c r="A18" s="181" t="str">
        <f>"Résultat budgétaire global estimé " &amp;  'Page de garde'!$G$7</f>
        <v>Résultat budgétaire global estimé 2021</v>
      </c>
      <c r="B18" s="182"/>
      <c r="C18" s="182"/>
      <c r="D18" s="182"/>
      <c r="E18" s="182"/>
      <c r="F18" s="183"/>
      <c r="G18" s="183"/>
      <c r="H18" s="200">
        <f>H4+H16</f>
        <v>0</v>
      </c>
    </row>
    <row r="19" spans="1:11" ht="12.9" customHeight="1" thickBot="1" x14ac:dyDescent="0.3">
      <c r="A19" s="181" t="str">
        <f>A18 &amp; " selon budget présenté"</f>
        <v>Résultat budgétaire global estimé 2021 selon budget présenté</v>
      </c>
      <c r="B19" s="182"/>
      <c r="C19" s="182"/>
      <c r="D19" s="182"/>
      <c r="E19" s="182"/>
      <c r="F19" s="183"/>
      <c r="G19" s="183"/>
      <c r="H19" s="201">
        <f>'Données générales'!I13</f>
        <v>0</v>
      </c>
    </row>
    <row r="20" spans="1:11" ht="12.9" customHeight="1" thickBot="1" x14ac:dyDescent="0.3">
      <c r="A20" s="202"/>
      <c r="B20" s="203"/>
      <c r="C20" s="203"/>
      <c r="D20" s="203"/>
      <c r="E20" s="203"/>
      <c r="F20" s="204"/>
      <c r="G20" s="205" t="s">
        <v>430</v>
      </c>
      <c r="H20" s="206">
        <f>ROUND(H18-H19,2)</f>
        <v>0</v>
      </c>
      <c r="K20" s="175">
        <f>IF(H20&lt;&gt;0,1,0)</f>
        <v>0</v>
      </c>
    </row>
    <row r="21" spans="1:11" ht="12.9" customHeight="1" thickBot="1" x14ac:dyDescent="0.3"/>
    <row r="22" spans="1:11" ht="12.9" customHeight="1" thickBot="1" x14ac:dyDescent="0.3">
      <c r="A22" s="177" t="str">
        <f>"2. SYNTHESE DU BUDGET " &amp; 'Page de garde'!$G$7 &amp; " SERVICE EXTRAORDINAIRE"</f>
        <v>2. SYNTHESE DU BUDGET 2021 SERVICE EXTRAORDINAIRE</v>
      </c>
      <c r="B22" s="178"/>
      <c r="C22" s="178"/>
      <c r="D22" s="178"/>
      <c r="E22" s="178"/>
      <c r="F22" s="179"/>
      <c r="G22" s="305"/>
      <c r="H22" s="306"/>
    </row>
    <row r="23" spans="1:11" ht="12.9" customHeight="1" x14ac:dyDescent="0.25">
      <c r="A23" s="180"/>
    </row>
    <row r="24" spans="1:11" ht="12.9" customHeight="1" x14ac:dyDescent="0.25">
      <c r="A24" s="181" t="str">
        <f>"Résultat budgétaire global estimé " &amp; 'Page de garde'!$G$7-1 &amp; " (après modifications)  / Résultat du compte budgétaire  " &amp; 'Page de garde'!$G$7-1</f>
        <v>Résultat budgétaire global estimé 2020 (après modifications)  / Résultat du compte budgétaire  2020</v>
      </c>
      <c r="B24" s="182"/>
      <c r="C24" s="182"/>
      <c r="D24" s="182"/>
      <c r="E24" s="182"/>
      <c r="F24" s="183"/>
      <c r="G24" s="184"/>
      <c r="H24" s="207"/>
    </row>
    <row r="25" spans="1:11" ht="12.9" customHeight="1" x14ac:dyDescent="0.25"/>
    <row r="26" spans="1:11" ht="12.9" customHeight="1" x14ac:dyDescent="0.25">
      <c r="A26" s="185" t="str">
        <f>"Budget " &amp; 'Page de garde'!$G$7</f>
        <v>Budget 2021</v>
      </c>
      <c r="B26" s="186"/>
      <c r="C26" s="186"/>
      <c r="D26" s="186"/>
      <c r="E26" s="187"/>
      <c r="F26" s="188"/>
      <c r="G26" s="189" t="s">
        <v>561</v>
      </c>
      <c r="H26" s="188"/>
    </row>
    <row r="27" spans="1:11" ht="12.9" customHeight="1" x14ac:dyDescent="0.25">
      <c r="A27" s="307" t="s">
        <v>420</v>
      </c>
      <c r="B27" s="308"/>
      <c r="C27" s="308"/>
      <c r="D27" s="308"/>
      <c r="E27" s="308"/>
      <c r="F27" s="190">
        <f>SUMIF(Recettes!Q5:Q504,"B",Recettes!N5:N504)-F30-F33-SUMIF(Recettes!C5:C504,95251,Recettes!N5:N504)</f>
        <v>0</v>
      </c>
      <c r="G27" s="191"/>
      <c r="H27" s="191"/>
      <c r="I27" s="294"/>
      <c r="J27" s="202"/>
    </row>
    <row r="28" spans="1:11" ht="12.9" customHeight="1" x14ac:dyDescent="0.25">
      <c r="A28" s="303" t="s">
        <v>421</v>
      </c>
      <c r="B28" s="304"/>
      <c r="C28" s="304"/>
      <c r="D28" s="304"/>
      <c r="E28" s="304"/>
      <c r="F28" s="194">
        <f>SUMIF(Dépenses!Q5:Q504,"B",Dépenses!N5:N504)-F31-F34-SUMIF(Dépenses!C5:C504,99251,Dépenses!N5:N504)</f>
        <v>0</v>
      </c>
      <c r="G28" s="195"/>
      <c r="H28" s="195"/>
      <c r="I28" s="294"/>
      <c r="J28" s="202"/>
    </row>
    <row r="29" spans="1:11" ht="12.9" customHeight="1" x14ac:dyDescent="0.25">
      <c r="A29" s="303"/>
      <c r="B29" s="304"/>
      <c r="C29" s="304"/>
      <c r="D29" s="304"/>
      <c r="E29" s="304"/>
      <c r="F29" s="194"/>
      <c r="G29" s="195">
        <f>F27-F28</f>
        <v>0</v>
      </c>
      <c r="H29" s="195"/>
      <c r="I29" s="294"/>
      <c r="J29" s="203"/>
    </row>
    <row r="30" spans="1:11" ht="12.9" customHeight="1" x14ac:dyDescent="0.25">
      <c r="A30" s="303" t="str">
        <f>"Recettes exercices précédents (en "&amp;'Page de garde'!$G$7&amp;")"</f>
        <v>Recettes exercices précédents (en 2021)</v>
      </c>
      <c r="B30" s="304"/>
      <c r="C30" s="304"/>
      <c r="D30" s="304"/>
      <c r="E30" s="304"/>
      <c r="F30" s="194">
        <f>SUMIF(Recettes!E5:E504,86,Recettes!N5:N504)-SUMIF(Recettes!C5:C504,95251,Recettes!N5:N504)</f>
        <v>0</v>
      </c>
      <c r="G30" s="195"/>
      <c r="H30" s="195"/>
    </row>
    <row r="31" spans="1:11" ht="12.9" customHeight="1" x14ac:dyDescent="0.25">
      <c r="A31" s="303" t="str">
        <f>"Dépenses exercices précédents (en "&amp;'Page de garde'!$G$7 &amp; ")"</f>
        <v>Dépenses exercices précédents (en 2021)</v>
      </c>
      <c r="B31" s="304"/>
      <c r="C31" s="304"/>
      <c r="D31" s="304"/>
      <c r="E31" s="304"/>
      <c r="F31" s="194">
        <f>SUMIF(Dépenses!E5:E504,96,Dépenses!N5:N504)-SUMIF(Dépenses!C5:C504,99251,Dépenses!N5:N504)</f>
        <v>0</v>
      </c>
      <c r="G31" s="195"/>
      <c r="H31" s="196"/>
      <c r="J31" s="198"/>
    </row>
    <row r="32" spans="1:11" ht="12.9" customHeight="1" x14ac:dyDescent="0.25">
      <c r="A32" s="192"/>
      <c r="B32" s="193"/>
      <c r="C32" s="193"/>
      <c r="D32" s="193"/>
      <c r="E32" s="193"/>
      <c r="F32" s="194"/>
      <c r="G32" s="195">
        <f>F30-F31</f>
        <v>0</v>
      </c>
      <c r="H32" s="196"/>
    </row>
    <row r="33" spans="1:11" ht="12.9" customHeight="1" x14ac:dyDescent="0.25">
      <c r="A33" s="192" t="s">
        <v>422</v>
      </c>
      <c r="B33" s="193"/>
      <c r="C33" s="193"/>
      <c r="D33" s="193"/>
      <c r="E33" s="193"/>
      <c r="F33" s="194">
        <f>SUMIF(Recettes!E5:E504,88,Recettes!N5:N504)</f>
        <v>0</v>
      </c>
      <c r="G33" s="195"/>
      <c r="H33" s="196"/>
    </row>
    <row r="34" spans="1:11" ht="12.9" customHeight="1" x14ac:dyDescent="0.25">
      <c r="A34" s="192" t="s">
        <v>423</v>
      </c>
      <c r="B34" s="193"/>
      <c r="C34" s="193"/>
      <c r="D34" s="193"/>
      <c r="E34" s="193"/>
      <c r="F34" s="194">
        <f>SUMIF(Dépenses!E5:E504,98,Dépenses!N5:N504)</f>
        <v>0</v>
      </c>
      <c r="G34" s="195"/>
      <c r="H34" s="196"/>
    </row>
    <row r="35" spans="1:11" ht="12.9" customHeight="1" x14ac:dyDescent="0.25">
      <c r="A35" s="192"/>
      <c r="B35" s="193"/>
      <c r="C35" s="193"/>
      <c r="D35" s="193"/>
      <c r="E35" s="193"/>
      <c r="F35" s="194"/>
      <c r="G35" s="195">
        <f>F33-F34</f>
        <v>0</v>
      </c>
      <c r="H35" s="196"/>
    </row>
    <row r="36" spans="1:11" ht="12.9" customHeight="1" x14ac:dyDescent="0.25">
      <c r="A36" s="301" t="str">
        <f>"Résultat budgétaire estimé " &amp; 'Page de garde'!$G$7 &amp; " (+ ou -)"</f>
        <v>Résultat budgétaire estimé 2021 (+ ou -)</v>
      </c>
      <c r="B36" s="302"/>
      <c r="C36" s="302"/>
      <c r="D36" s="302"/>
      <c r="E36" s="302"/>
      <c r="F36" s="188"/>
      <c r="G36" s="188"/>
      <c r="H36" s="199">
        <f>G29+G32+G35</f>
        <v>0</v>
      </c>
    </row>
    <row r="37" spans="1:11" ht="12.9" customHeight="1" x14ac:dyDescent="0.25"/>
    <row r="38" spans="1:11" ht="12.9" customHeight="1" x14ac:dyDescent="0.25">
      <c r="A38" s="181" t="str">
        <f>"Résultat budgétaire global estimé " &amp;  'Page de garde'!$G$7</f>
        <v>Résultat budgétaire global estimé 2021</v>
      </c>
      <c r="B38" s="182"/>
      <c r="C38" s="182"/>
      <c r="D38" s="182"/>
      <c r="E38" s="182"/>
      <c r="F38" s="183"/>
      <c r="G38" s="183"/>
      <c r="H38" s="200">
        <f>H24+H36</f>
        <v>0</v>
      </c>
    </row>
    <row r="39" spans="1:11" ht="15" thickBot="1" x14ac:dyDescent="0.3">
      <c r="A39" s="181" t="str">
        <f>A38 &amp; " selon budget présenté"</f>
        <v>Résultat budgétaire global estimé 2021 selon budget présenté</v>
      </c>
      <c r="B39" s="182"/>
      <c r="C39" s="182"/>
      <c r="D39" s="182"/>
      <c r="E39" s="182"/>
      <c r="F39" s="183"/>
      <c r="G39" s="183"/>
      <c r="H39" s="200">
        <f>'Données générales'!I14</f>
        <v>0</v>
      </c>
    </row>
    <row r="40" spans="1:11" ht="15" thickBot="1" x14ac:dyDescent="0.3">
      <c r="G40" s="205" t="s">
        <v>430</v>
      </c>
      <c r="H40" s="206">
        <f>ROUND(H38-H39,)</f>
        <v>0</v>
      </c>
      <c r="K40" s="175">
        <f>IF(H40&lt;&gt;0,1,0)</f>
        <v>0</v>
      </c>
    </row>
  </sheetData>
  <mergeCells count="14">
    <mergeCell ref="G22:H22"/>
    <mergeCell ref="G2:H2"/>
    <mergeCell ref="A7:E7"/>
    <mergeCell ref="A27:E27"/>
    <mergeCell ref="A8:E8"/>
    <mergeCell ref="A9:E9"/>
    <mergeCell ref="A10:E10"/>
    <mergeCell ref="A11:E11"/>
    <mergeCell ref="A36:E36"/>
    <mergeCell ref="A28:E28"/>
    <mergeCell ref="A31:E31"/>
    <mergeCell ref="A16:E16"/>
    <mergeCell ref="A29:E29"/>
    <mergeCell ref="A30:E30"/>
  </mergeCells>
  <phoneticPr fontId="0" type="noConversion"/>
  <conditionalFormatting sqref="H20 H40">
    <cfRule type="cellIs" dxfId="16" priority="1" stopIfTrue="1" operator="notEqual">
      <formula>0</formula>
    </cfRule>
  </conditionalFormatting>
  <printOptions horizontalCentered="1"/>
  <pageMargins left="0.43307086614173229" right="0.51181102362204722" top="0.49" bottom="0.52" header="0.32" footer="0.3"/>
  <pageSetup paperSize="9" scale="90" orientation="landscape" horizontalDpi="300" verticalDpi="300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/>
  <dimension ref="A1:J42"/>
  <sheetViews>
    <sheetView showGridLines="0" zoomScale="85" workbookViewId="0">
      <selection activeCell="F14" sqref="F14:L48"/>
    </sheetView>
  </sheetViews>
  <sheetFormatPr baseColWidth="10" defaultColWidth="9.109375" defaultRowHeight="14.4" x14ac:dyDescent="0.35"/>
  <cols>
    <col min="1" max="1" width="3.109375" style="4" customWidth="1"/>
    <col min="2" max="2" width="5" style="4" customWidth="1"/>
    <col min="3" max="3" width="21.5546875" style="4" bestFit="1" customWidth="1"/>
    <col min="4" max="4" width="15.6640625" style="4" customWidth="1"/>
    <col min="5" max="5" width="20" style="4" customWidth="1"/>
    <col min="6" max="6" width="11.44140625" style="4" customWidth="1"/>
    <col min="7" max="9" width="9.109375" style="4" customWidth="1"/>
    <col min="10" max="10" width="2.109375" style="4" hidden="1" customWidth="1"/>
    <col min="11" max="16384" width="9.109375" style="4"/>
  </cols>
  <sheetData>
    <row r="1" spans="1:7" ht="15" thickBot="1" x14ac:dyDescent="0.4">
      <c r="A1" s="208" t="s">
        <v>562</v>
      </c>
      <c r="B1" s="107"/>
      <c r="C1" s="107"/>
      <c r="D1" s="107"/>
      <c r="E1" s="107"/>
      <c r="F1" s="108"/>
      <c r="G1" s="46"/>
    </row>
    <row r="3" spans="1:7" x14ac:dyDescent="0.35">
      <c r="B3" s="69" t="s">
        <v>563</v>
      </c>
    </row>
    <row r="5" spans="1:7" x14ac:dyDescent="0.35">
      <c r="B5" s="4" t="s">
        <v>424</v>
      </c>
    </row>
    <row r="8" spans="1:7" x14ac:dyDescent="0.35">
      <c r="C8" s="8">
        <v>330</v>
      </c>
      <c r="D8" s="70" t="s">
        <v>425</v>
      </c>
      <c r="E8" s="71"/>
      <c r="F8" s="72"/>
    </row>
    <row r="9" spans="1:7" x14ac:dyDescent="0.35">
      <c r="C9" s="73">
        <v>0</v>
      </c>
      <c r="D9" s="74" t="s">
        <v>564</v>
      </c>
      <c r="E9" s="75"/>
      <c r="F9" s="76"/>
    </row>
    <row r="10" spans="1:7" x14ac:dyDescent="0.35">
      <c r="C10" s="77">
        <v>60</v>
      </c>
      <c r="D10" s="78" t="s">
        <v>426</v>
      </c>
      <c r="E10" s="79"/>
      <c r="F10" s="80"/>
    </row>
    <row r="12" spans="1:7" x14ac:dyDescent="0.35">
      <c r="B12" s="4" t="s">
        <v>326</v>
      </c>
    </row>
    <row r="13" spans="1:7" ht="15" thickBot="1" x14ac:dyDescent="0.4"/>
    <row r="14" spans="1:7" ht="15" thickBot="1" x14ac:dyDescent="0.4">
      <c r="C14" s="119" t="s">
        <v>542</v>
      </c>
      <c r="D14" s="120" t="s">
        <v>427</v>
      </c>
      <c r="E14" s="121" t="s">
        <v>428</v>
      </c>
    </row>
    <row r="15" spans="1:7" x14ac:dyDescent="0.35">
      <c r="C15" s="65">
        <v>330</v>
      </c>
      <c r="D15" s="118">
        <f>COUNTIF(Recettes!$S$5:$S$504,"330")</f>
        <v>0</v>
      </c>
      <c r="E15" s="118">
        <f>COUNTIF(Dépenses!$S$5:$S$504,"330")</f>
        <v>0</v>
      </c>
    </row>
    <row r="16" spans="1:7" x14ac:dyDescent="0.35">
      <c r="C16" s="113">
        <v>0</v>
      </c>
      <c r="D16" s="112">
        <f>COUNTIF(Recettes!$S$5:$S$504,"000")</f>
        <v>0</v>
      </c>
      <c r="E16" s="112">
        <f>COUNTIF(Dépenses!$S$5:$S$504,"000")</f>
        <v>0</v>
      </c>
    </row>
    <row r="17" spans="2:10" ht="15" thickBot="1" x14ac:dyDescent="0.4">
      <c r="C17" s="123">
        <v>60</v>
      </c>
      <c r="D17" s="124">
        <f>COUNTIF(Recettes!$S$5:$S$504,"060")</f>
        <v>0</v>
      </c>
      <c r="E17" s="124">
        <f>COUNTIF(Dépenses!$S$5:$S$504,"060")</f>
        <v>0</v>
      </c>
    </row>
    <row r="18" spans="2:10" x14ac:dyDescent="0.35">
      <c r="C18" s="122" t="s">
        <v>788</v>
      </c>
      <c r="D18" s="122">
        <f>SUM(D15:D17)</f>
        <v>0</v>
      </c>
      <c r="E18" s="122">
        <f>SUM(E15:E17)</f>
        <v>0</v>
      </c>
    </row>
    <row r="19" spans="2:10" ht="15" thickBot="1" x14ac:dyDescent="0.4">
      <c r="C19" s="114" t="s">
        <v>801</v>
      </c>
      <c r="D19" s="114">
        <f>COUNTIF(Recettes!R5:R504,"&lt;&gt;/")</f>
        <v>0</v>
      </c>
      <c r="E19" s="114">
        <f>COUNTIF(Dépenses!R5:R504,"&lt;&gt;/")</f>
        <v>0</v>
      </c>
    </row>
    <row r="20" spans="2:10" ht="15" thickBot="1" x14ac:dyDescent="0.4">
      <c r="C20" s="115" t="s">
        <v>429</v>
      </c>
      <c r="D20" s="116">
        <f>D18-D19</f>
        <v>0</v>
      </c>
      <c r="E20" s="117">
        <f>E18-E19</f>
        <v>0</v>
      </c>
      <c r="J20" s="4">
        <f>IF(D20+E20&lt;&gt;0,1,0)</f>
        <v>0</v>
      </c>
    </row>
    <row r="23" spans="2:10" x14ac:dyDescent="0.35">
      <c r="B23" s="69" t="s">
        <v>565</v>
      </c>
    </row>
    <row r="25" spans="2:10" x14ac:dyDescent="0.35">
      <c r="B25" s="4" t="s">
        <v>566</v>
      </c>
    </row>
    <row r="26" spans="2:10" x14ac:dyDescent="0.35">
      <c r="B26" s="4" t="s">
        <v>431</v>
      </c>
    </row>
    <row r="28" spans="2:10" x14ac:dyDescent="0.35">
      <c r="C28" s="209" t="s">
        <v>567</v>
      </c>
      <c r="D28" s="209" t="s">
        <v>427</v>
      </c>
      <c r="E28" s="209" t="s">
        <v>428</v>
      </c>
      <c r="F28" s="209" t="s">
        <v>416</v>
      </c>
    </row>
    <row r="29" spans="2:10" x14ac:dyDescent="0.35">
      <c r="C29" s="210">
        <v>60</v>
      </c>
      <c r="D29" s="112">
        <f>COUNTIF(Recettes!$E$5:$E$504,C29)</f>
        <v>0</v>
      </c>
      <c r="E29" s="112">
        <f>COUNTIF(Dépenses!$E$5:$E$504,Codes!F29)</f>
        <v>0</v>
      </c>
      <c r="F29" s="210">
        <v>70</v>
      </c>
    </row>
    <row r="30" spans="2:10" x14ac:dyDescent="0.35">
      <c r="C30" s="210">
        <v>61</v>
      </c>
      <c r="D30" s="112">
        <f>COUNTIF(Recettes!$E$5:$E$504,C30)</f>
        <v>0</v>
      </c>
      <c r="E30" s="112">
        <f>COUNTIF(Dépenses!$E$5:$E$504,Codes!F30)</f>
        <v>0</v>
      </c>
      <c r="F30" s="210">
        <v>71</v>
      </c>
    </row>
    <row r="31" spans="2:10" x14ac:dyDescent="0.35">
      <c r="C31" s="210">
        <v>62</v>
      </c>
      <c r="D31" s="112">
        <f>COUNTIF(Recettes!$E$5:$E$504,C31)</f>
        <v>0</v>
      </c>
      <c r="E31" s="112">
        <f>COUNTIF(Dépenses!$E$5:$E$504,Codes!F31)</f>
        <v>0</v>
      </c>
      <c r="F31" s="210">
        <v>72</v>
      </c>
    </row>
    <row r="32" spans="2:10" x14ac:dyDescent="0.35">
      <c r="C32" s="210">
        <v>66</v>
      </c>
      <c r="D32" s="112">
        <f>COUNTIF(Recettes!$E$5:$E$504,C32)</f>
        <v>0</v>
      </c>
      <c r="E32" s="112">
        <f>COUNTIF(Dépenses!$E$5:$E$504,Codes!F32)</f>
        <v>0</v>
      </c>
      <c r="F32" s="210" t="s">
        <v>724</v>
      </c>
    </row>
    <row r="33" spans="3:10" x14ac:dyDescent="0.35">
      <c r="C33" s="210">
        <v>68</v>
      </c>
      <c r="D33" s="112">
        <f>COUNTIF(Recettes!$E$5:$E$504,C33)</f>
        <v>0</v>
      </c>
      <c r="E33" s="112">
        <f>COUNTIF(Dépenses!$E$5:$E$504,Codes!F33)</f>
        <v>0</v>
      </c>
      <c r="F33" s="210">
        <v>76</v>
      </c>
    </row>
    <row r="34" spans="3:10" x14ac:dyDescent="0.35">
      <c r="C34" s="210">
        <v>80</v>
      </c>
      <c r="D34" s="112">
        <f>COUNTIF(Recettes!$E$5:$E$504,C34)</f>
        <v>0</v>
      </c>
      <c r="E34" s="112">
        <f>COUNTIF(Dépenses!$E$5:$E$504,Codes!F34)</f>
        <v>0</v>
      </c>
      <c r="F34" s="210">
        <v>78</v>
      </c>
    </row>
    <row r="35" spans="3:10" x14ac:dyDescent="0.35">
      <c r="C35" s="210">
        <v>81</v>
      </c>
      <c r="D35" s="112">
        <f>COUNTIF(Recettes!$E$5:$E$504,C35)</f>
        <v>0</v>
      </c>
      <c r="E35" s="112">
        <f>COUNTIF(Dépenses!$E$5:$E$504,Codes!F35)</f>
        <v>0</v>
      </c>
      <c r="F35" s="210">
        <v>90</v>
      </c>
    </row>
    <row r="36" spans="3:10" x14ac:dyDescent="0.35">
      <c r="C36" s="210">
        <v>82</v>
      </c>
      <c r="D36" s="112">
        <f>COUNTIF(Recettes!$E$5:$E$504,C36)</f>
        <v>0</v>
      </c>
      <c r="E36" s="112">
        <f>COUNTIF(Dépenses!$E$5:$E$504,Codes!F36)</f>
        <v>0</v>
      </c>
      <c r="F36" s="210">
        <v>91</v>
      </c>
    </row>
    <row r="37" spans="3:10" x14ac:dyDescent="0.35">
      <c r="C37" s="210">
        <v>86</v>
      </c>
      <c r="D37" s="112">
        <f>COUNTIF(Recettes!$E$5:$E$504,C37)</f>
        <v>0</v>
      </c>
      <c r="E37" s="112">
        <f>COUNTIF(Dépenses!$E$5:$E$504,Codes!F37)</f>
        <v>0</v>
      </c>
      <c r="F37" s="210">
        <v>92</v>
      </c>
    </row>
    <row r="38" spans="3:10" x14ac:dyDescent="0.35">
      <c r="C38" s="210">
        <v>88</v>
      </c>
      <c r="D38" s="112">
        <f>COUNTIF(Recettes!$E$5:$E$504,C38)</f>
        <v>0</v>
      </c>
      <c r="E38" s="112">
        <f>COUNTIF(Dépenses!$E$5:$E$504,Codes!F38)</f>
        <v>0</v>
      </c>
      <c r="F38" s="210">
        <v>96</v>
      </c>
    </row>
    <row r="39" spans="3:10" ht="15" thickBot="1" x14ac:dyDescent="0.4">
      <c r="C39" s="211"/>
      <c r="D39" s="211"/>
      <c r="E39" s="124">
        <f>COUNTIF(Dépenses!$E$5:$E$504,Codes!F39)</f>
        <v>0</v>
      </c>
      <c r="F39" s="212">
        <v>98</v>
      </c>
    </row>
    <row r="40" spans="3:10" x14ac:dyDescent="0.35">
      <c r="C40" s="213" t="s">
        <v>788</v>
      </c>
      <c r="D40" s="122">
        <f>SUM(D29:D38)</f>
        <v>0</v>
      </c>
      <c r="E40" s="122">
        <f>SUM(E29:E39)</f>
        <v>0</v>
      </c>
      <c r="F40" s="122" t="s">
        <v>788</v>
      </c>
    </row>
    <row r="41" spans="3:10" ht="15" thickBot="1" x14ac:dyDescent="0.4">
      <c r="C41" s="214" t="s">
        <v>801</v>
      </c>
      <c r="D41" s="114">
        <f>D19</f>
        <v>0</v>
      </c>
      <c r="E41" s="114">
        <f>E19</f>
        <v>0</v>
      </c>
      <c r="F41" s="114" t="s">
        <v>801</v>
      </c>
    </row>
    <row r="42" spans="3:10" ht="15" thickBot="1" x14ac:dyDescent="0.4">
      <c r="C42" s="215" t="s">
        <v>430</v>
      </c>
      <c r="D42" s="116">
        <f>D40-D41</f>
        <v>0</v>
      </c>
      <c r="E42" s="116">
        <f>E40-E41</f>
        <v>0</v>
      </c>
      <c r="F42" s="117" t="s">
        <v>430</v>
      </c>
      <c r="J42" s="4">
        <f>IF(D42+E42&lt;&gt;0,1,0)</f>
        <v>0</v>
      </c>
    </row>
  </sheetData>
  <sheetProtection password="C464" sheet="1" objects="1" scenarios="1"/>
  <phoneticPr fontId="0" type="noConversion"/>
  <conditionalFormatting sqref="D20:E20 D42:E42">
    <cfRule type="cellIs" dxfId="15" priority="1" stopIfTrue="1" operator="notEqual">
      <formula>0</formula>
    </cfRule>
  </conditionalFormatting>
  <pageMargins left="0.75" right="0.75" top="1" bottom="0.81" header="0.5" footer="0.5"/>
  <pageSetup paperSize="9" orientation="portrait" horizontalDpi="300" verticalDpi="300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/>
  <dimension ref="A1:K19"/>
  <sheetViews>
    <sheetView showGridLines="0" zoomScale="85" workbookViewId="0">
      <selection activeCell="F14" sqref="F14:L48"/>
    </sheetView>
  </sheetViews>
  <sheetFormatPr baseColWidth="10" defaultColWidth="9.109375" defaultRowHeight="14.4" x14ac:dyDescent="0.35"/>
  <cols>
    <col min="1" max="1" width="4" style="2" customWidth="1"/>
    <col min="2" max="2" width="43.5546875" style="2" customWidth="1"/>
    <col min="3" max="3" width="19.5546875" style="2" customWidth="1"/>
    <col min="4" max="4" width="18.6640625" style="2" customWidth="1"/>
    <col min="5" max="7" width="17.6640625" style="2" customWidth="1"/>
    <col min="8" max="10" width="9.109375" style="2" customWidth="1"/>
    <col min="11" max="11" width="2.109375" style="2" hidden="1" customWidth="1"/>
    <col min="12" max="16384" width="9.109375" style="2"/>
  </cols>
  <sheetData>
    <row r="1" spans="1:11" ht="15" thickBot="1" x14ac:dyDescent="0.4">
      <c r="A1" s="109" t="s">
        <v>350</v>
      </c>
      <c r="B1" s="110"/>
      <c r="C1" s="111"/>
      <c r="D1" s="140"/>
      <c r="E1" s="82"/>
      <c r="F1" s="82"/>
      <c r="G1" s="82"/>
    </row>
    <row r="2" spans="1:11" ht="15" thickBot="1" x14ac:dyDescent="0.4"/>
    <row r="3" spans="1:11" ht="15" thickBot="1" x14ac:dyDescent="0.4">
      <c r="B3" s="128" t="s">
        <v>568</v>
      </c>
      <c r="C3" s="129"/>
    </row>
    <row r="4" spans="1:11" ht="15" thickBot="1" x14ac:dyDescent="0.4">
      <c r="B4" s="125" t="s">
        <v>417</v>
      </c>
      <c r="C4" s="126" t="s">
        <v>432</v>
      </c>
      <c r="D4" s="126" t="s">
        <v>433</v>
      </c>
      <c r="E4" s="126" t="s">
        <v>434</v>
      </c>
      <c r="F4" s="126" t="s">
        <v>435</v>
      </c>
      <c r="G4" s="127" t="s">
        <v>569</v>
      </c>
    </row>
    <row r="5" spans="1:11" x14ac:dyDescent="0.35">
      <c r="B5" s="99" t="str">
        <f>"Indexation de la dotation fédérale de base " &amp; 'Page de garde'!G7-2</f>
        <v>Indexation de la dotation fédérale de base 2019</v>
      </c>
      <c r="C5" s="130" t="s">
        <v>198</v>
      </c>
      <c r="D5" s="130" t="str">
        <f>"33004/465-48/" &amp; RIGHT(B5,4)</f>
        <v>33004/465-48/2019</v>
      </c>
      <c r="E5" s="172"/>
      <c r="F5" s="131">
        <f>SUMIF(Recettes!$R$5:$R$504,OverdrOntv!D5,Recettes!$N$5:$N$504)</f>
        <v>0</v>
      </c>
      <c r="G5" s="131">
        <f>ROUND(E5-F5,0)</f>
        <v>0</v>
      </c>
      <c r="K5" s="2">
        <f>IF(G5&lt;&gt;0,1,0)</f>
        <v>0</v>
      </c>
    </row>
    <row r="6" spans="1:11" x14ac:dyDescent="0.35">
      <c r="B6" s="85" t="str">
        <f>"Indexation de la dotationfédérale de base " &amp; 'Page de garde'!G7-1</f>
        <v>Indexation de la dotationfédérale de base 2020</v>
      </c>
      <c r="C6" s="91" t="s">
        <v>198</v>
      </c>
      <c r="D6" s="91" t="str">
        <f>"33004/465-48/" &amp; RIGHT(B6,4)</f>
        <v>33004/465-48/2020</v>
      </c>
      <c r="E6" s="216"/>
      <c r="F6" s="95">
        <f>SUMIF(Recettes!$R$5:$R$504,OverdrOntv!D6,Recettes!$N$5:$N$504)</f>
        <v>0</v>
      </c>
      <c r="G6" s="95">
        <f>ROUND(E6-F6,0)</f>
        <v>0</v>
      </c>
      <c r="K6" s="2">
        <f>IF(G6&lt;&gt;0,1,0)</f>
        <v>0</v>
      </c>
    </row>
    <row r="7" spans="1:11" ht="15" thickBot="1" x14ac:dyDescent="0.4"/>
    <row r="8" spans="1:11" ht="15" thickBot="1" x14ac:dyDescent="0.4">
      <c r="B8" s="128" t="s">
        <v>570</v>
      </c>
      <c r="C8" s="129"/>
    </row>
    <row r="9" spans="1:11" ht="15" thickBot="1" x14ac:dyDescent="0.4">
      <c r="B9" s="125" t="s">
        <v>417</v>
      </c>
      <c r="C9" s="126" t="s">
        <v>432</v>
      </c>
      <c r="D9" s="126" t="s">
        <v>433</v>
      </c>
      <c r="E9" s="126" t="s">
        <v>434</v>
      </c>
      <c r="F9" s="126" t="s">
        <v>435</v>
      </c>
      <c r="G9" s="127" t="s">
        <v>569</v>
      </c>
    </row>
    <row r="10" spans="1:11" x14ac:dyDescent="0.35">
      <c r="B10" s="99" t="str">
        <f>"Dotation fédérale de base " &amp; 'Page de garde'!G7</f>
        <v>Dotation fédérale de base 2021</v>
      </c>
      <c r="C10" s="130" t="s">
        <v>199</v>
      </c>
      <c r="D10" s="130" t="str">
        <f>"330/465-48/"&amp; RIGHT(B10,4)</f>
        <v>330/465-48/2021</v>
      </c>
      <c r="E10" s="172"/>
      <c r="F10" s="131">
        <f>SUMIF(Recettes!$R$5:$R$504,OverdrOntv!D10,Recettes!$N$5:$N$504)</f>
        <v>0</v>
      </c>
      <c r="G10" s="131">
        <f>ROUND(E10-F10,2)</f>
        <v>0</v>
      </c>
      <c r="K10" s="2">
        <f>IF(G10&lt;&gt;0,1,0)</f>
        <v>0</v>
      </c>
    </row>
    <row r="11" spans="1:11" x14ac:dyDescent="0.35">
      <c r="B11" s="85" t="str">
        <f>"Dotation fédérale accessoire " &amp; 'Page de garde'!G7</f>
        <v>Dotation fédérale accessoire 2021</v>
      </c>
      <c r="C11" s="91" t="s">
        <v>199</v>
      </c>
      <c r="D11" s="91" t="str">
        <f>"33004/465-48/"&amp; RIGHT(B11,4)</f>
        <v>33004/465-48/2021</v>
      </c>
      <c r="E11" s="216"/>
      <c r="F11" s="95">
        <f>SUMIF(Recettes!$R$5:$R$504,OverdrOntv!D11,Recettes!$N$5:$N$504)</f>
        <v>0</v>
      </c>
      <c r="G11" s="95">
        <f>ROUND(E11-F11,2)</f>
        <v>0</v>
      </c>
      <c r="K11" s="2">
        <f>IF(G11&lt;&gt;0,1,0)</f>
        <v>0</v>
      </c>
    </row>
    <row r="12" spans="1:11" x14ac:dyDescent="0.35">
      <c r="B12" s="85" t="str">
        <f>"Dotation fédérale sociale I "&amp;'Page de garde'!G7</f>
        <v>Dotation fédérale sociale I 2021</v>
      </c>
      <c r="C12" s="91" t="s">
        <v>436</v>
      </c>
      <c r="D12" s="91" t="str">
        <f>"330/465-02/"&amp; RIGHT(B12,4)</f>
        <v>330/465-02/2021</v>
      </c>
      <c r="E12" s="216"/>
      <c r="F12" s="95">
        <f>SUMIF(Recettes!$R$5:$R$504,OverdrOntv!D12,Recettes!$N$5:$N$504)</f>
        <v>0</v>
      </c>
      <c r="G12" s="95">
        <f>ROUND(E12-F12,2)</f>
        <v>0</v>
      </c>
      <c r="K12" s="2">
        <f>IF(G12&lt;&gt;0,1,0)</f>
        <v>0</v>
      </c>
    </row>
    <row r="13" spans="1:11" x14ac:dyDescent="0.35">
      <c r="B13" s="85" t="str">
        <f>"Dotation fédérale sociale II "&amp;'Page de garde'!G7</f>
        <v>Dotation fédérale sociale II 2021</v>
      </c>
      <c r="C13" s="91" t="s">
        <v>437</v>
      </c>
      <c r="D13" s="91" t="str">
        <f>"33001/465-02/"&amp;RIGHT(B13,4)</f>
        <v>33001/465-02/2021</v>
      </c>
      <c r="E13" s="95"/>
      <c r="F13" s="95">
        <f>SUMIF(Recettes!$R$5:$R$504,OverdrOntv!D13,Recettes!$N$5:$N$504)</f>
        <v>0</v>
      </c>
      <c r="G13" s="95">
        <f>ROUND(E13-F13,2)</f>
        <v>0</v>
      </c>
      <c r="K13" s="2">
        <f>IF(G13&lt;&gt;0,1,0)</f>
        <v>0</v>
      </c>
    </row>
    <row r="14" spans="1:11" x14ac:dyDescent="0.35">
      <c r="B14" s="85" t="str">
        <f>"Dotation fédérale " &amp; 'Page de garde'!G7 &amp; "  Equipement, etc."</f>
        <v>Dotation fédérale 2021  Equipement, etc.</v>
      </c>
      <c r="C14" s="91" t="s">
        <v>199</v>
      </c>
      <c r="D14" s="91" t="str">
        <f>"33003/465-48/"&amp;'Page de garde'!G7</f>
        <v>33003/465-48/2021</v>
      </c>
      <c r="E14" s="216"/>
      <c r="F14" s="95">
        <f>SUMIF(Recettes!$R$5:$R$504,OverdrOntv!D14,Recettes!$N$5:$N$504)</f>
        <v>0</v>
      </c>
      <c r="G14" s="95">
        <f>ROUND(E14-F14,2)</f>
        <v>0</v>
      </c>
      <c r="K14" s="2">
        <f>IF(G14&lt;&gt;0,1,0)</f>
        <v>0</v>
      </c>
    </row>
    <row r="15" spans="1:11" ht="15" thickBot="1" x14ac:dyDescent="0.4"/>
    <row r="16" spans="1:11" ht="15" thickBot="1" x14ac:dyDescent="0.4">
      <c r="B16" s="128" t="s">
        <v>438</v>
      </c>
      <c r="C16" s="129"/>
    </row>
    <row r="17" spans="2:11" ht="15" thickBot="1" x14ac:dyDescent="0.4">
      <c r="B17" s="125" t="s">
        <v>439</v>
      </c>
      <c r="C17" s="126" t="s">
        <v>433</v>
      </c>
      <c r="D17" s="126" t="s">
        <v>571</v>
      </c>
      <c r="E17" s="126" t="s">
        <v>370</v>
      </c>
      <c r="F17" s="127" t="s">
        <v>430</v>
      </c>
    </row>
    <row r="18" spans="2:11" x14ac:dyDescent="0.35">
      <c r="B18" s="99" t="s">
        <v>407</v>
      </c>
      <c r="C18" s="130" t="s">
        <v>730</v>
      </c>
      <c r="D18" s="95">
        <f>'Données générales'!I31</f>
        <v>0</v>
      </c>
      <c r="E18" s="131">
        <f>SUMIF(Recettes!C5:C504,"48548",Recettes!N5:N504)</f>
        <v>0</v>
      </c>
      <c r="F18" s="131">
        <f>ROUND(D18-E18,2)</f>
        <v>0</v>
      </c>
      <c r="K18" s="2">
        <f>IF(F18&lt;&gt;0,1,0)</f>
        <v>0</v>
      </c>
    </row>
    <row r="19" spans="2:11" x14ac:dyDescent="0.35">
      <c r="B19" s="85" t="s">
        <v>408</v>
      </c>
      <c r="C19" s="91" t="s">
        <v>731</v>
      </c>
      <c r="D19" s="95">
        <f>'Données générales'!I45</f>
        <v>0</v>
      </c>
      <c r="E19" s="95">
        <f>SUMIF(Recettes!C5:C504,"68551",Recettes!N5:N504)</f>
        <v>0</v>
      </c>
      <c r="F19" s="95">
        <f>ROUND(D19-E19,2)</f>
        <v>0</v>
      </c>
      <c r="K19" s="2">
        <f>IF(F19&lt;&gt;0,1,0)</f>
        <v>0</v>
      </c>
    </row>
  </sheetData>
  <phoneticPr fontId="0" type="noConversion"/>
  <conditionalFormatting sqref="F18:F19 G10:G14 G5:G6">
    <cfRule type="cellIs" dxfId="14" priority="1" stopIfTrue="1" operator="notBetween">
      <formula>-1</formula>
      <formula>1</formula>
    </cfRule>
  </conditionalFormatting>
  <pageMargins left="0.21" right="0.75" top="1" bottom="1" header="0.5" footer="0.5"/>
  <pageSetup paperSize="9" orientation="landscape" horizontalDpi="300" verticalDpi="300" r:id="rId1"/>
  <headerFooter alignWithMargins="0"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Jurdoc" ma:contentTypeID="0x010100AF8FFE35AADB574A956AB2FBEF841F1600892F220FD5D600469C422D4B3D19A145" ma:contentTypeVersion="10" ma:contentTypeDescription="" ma:contentTypeScope="" ma:versionID="cbf190cec4983decf0c70b6f826b1d3c">
  <xsd:schema xmlns:xsd="http://www.w3.org/2001/XMLSchema" xmlns:xs="http://www.w3.org/2001/XMLSchema" xmlns:p="http://schemas.microsoft.com/office/2006/metadata/properties" xmlns:ns1="http://schemas.microsoft.com/sharepoint/v3" xmlns:ns2="d6e05fb4-4ff7-45e7-9d0d-b9f3e278ffe2" targetNamespace="http://schemas.microsoft.com/office/2006/metadata/properties" ma:root="true" ma:fieldsID="49fcaea13e010105e4c85ee3422873c9" ns1:_="" ns2:_="">
    <xsd:import namespace="http://schemas.microsoft.com/sharepoint/v3"/>
    <xsd:import namespace="d6e05fb4-4ff7-45e7-9d0d-b9f3e278ffe2"/>
    <xsd:element name="properties">
      <xsd:complexType>
        <xsd:sequence>
          <xsd:element name="documentManagement">
            <xsd:complexType>
              <xsd:all>
                <xsd:element ref="ns2:Catégorie" minOccurs="0"/>
                <xsd:element ref="ns2:Collaborateur" minOccurs="0"/>
                <xsd:element ref="ns2:sous-classement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1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2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3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4" nillable="true" ma:displayName="E-Mail From" ma:hidden="true" ma:internalName="EmailFrom">
      <xsd:simpleType>
        <xsd:restriction base="dms:Text"/>
      </xsd:simpleType>
    </xsd:element>
    <xsd:element name="EmailSubject" ma:index="15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05fb4-4ff7-45e7-9d0d-b9f3e278ffe2" elementFormDefault="qualified">
    <xsd:import namespace="http://schemas.microsoft.com/office/2006/documentManagement/types"/>
    <xsd:import namespace="http://schemas.microsoft.com/office/infopath/2007/PartnerControls"/>
    <xsd:element name="Catégorie" ma:index="8" nillable="true" ma:displayName="Catégorie - Categorie" ma:description="classification documents service juridique SC" ma:format="RadioButtons" ma:internalName="Cat_x00e9_gorie">
      <xsd:simpleType>
        <xsd:restriction base="dms:Choice">
          <xsd:enumeration value="Inspection - Inspectie"/>
          <xsd:enumeration value="Tutelle - Toezicht"/>
          <xsd:enumeration value="Avis juridique - Juridisch advies"/>
          <xsd:enumeration value="Projet réglementaire - Ontwerptekst"/>
          <xsd:enumeration value="Contentieux - Geschillen"/>
          <xsd:enumeration value="Question parlemenaire - Parlementaire Vraag"/>
          <xsd:enumeration value="Réforme - Hervorming"/>
        </xsd:restriction>
      </xsd:simpleType>
    </xsd:element>
    <xsd:element name="Collaborateur" ma:index="9" nillable="true" ma:displayName="Collaborateur - Dossierbehandelaar" ma:description="collaborateur en charge du dossier&#10;Dossierbehandelaar" ma:format="Dropdown" ma:internalName="Collaborateur">
      <xsd:simpleType>
        <xsd:restriction base="dms:Choice">
          <xsd:enumeration value="Bouckaert Joris"/>
          <xsd:enumeration value="Brisaert Ivo"/>
          <xsd:enumeration value="Callaerts Jurgen"/>
          <xsd:enumeration value="Claeys Mie-Katrien"/>
          <xsd:enumeration value="Coucke Sophie"/>
          <xsd:enumeration value="De schryver Sophie"/>
          <xsd:enumeration value="Heylen Peggy"/>
          <xsd:enumeration value="Heylenbosch Marc"/>
          <xsd:enumeration value="Lobet Sophie"/>
          <xsd:enumeration value="Simon Philippe"/>
          <xsd:enumeration value="Sran Vran"/>
          <xsd:enumeration value="Strobbe Eveline"/>
          <xsd:enumeration value="Trasschaert Heidi"/>
          <xsd:enumeration value="Turlot Vincent"/>
          <xsd:enumeration value="Wailliez Hugues"/>
          <xsd:enumeration value="Robiette Isabelle"/>
          <xsd:enumeration value="Tiels Jeannine"/>
        </xsd:restriction>
      </xsd:simpleType>
    </xsd:element>
    <xsd:element name="sous-classement" ma:index="10" nillable="true" ma:displayName="sous-classement" ma:description="Commune - Gemeente" ma:format="Dropdown" ma:internalName="sous_x002d_classement">
      <xsd:simpleType>
        <xsd:union memberTypes="dms:Text">
          <xsd:simpleType>
            <xsd:restriction base="dms:Choice">
              <xsd:enumeration value="Aalst"/>
              <xsd:enumeration value="Aalter"/>
              <xsd:enumeration value="Aarschot"/>
              <xsd:enumeration value="Amblève"/>
              <xsd:enumeration value="Andenne"/>
              <xsd:enumeration value="Antoing"/>
              <xsd:enumeration value="Antwerpen"/>
              <xsd:enumeration value="Anzegem"/>
              <xsd:enumeration value="Ardooie"/>
              <xsd:enumeration value="Arendonk"/>
              <xsd:enumeration value="Arlon"/>
              <xsd:enumeration value="Asse"/>
              <xsd:enumeration value="Assenede"/>
              <xsd:enumeration value="Ath"/>
              <xsd:enumeration value="Aubange"/>
              <xsd:enumeration value="Avelgem"/>
              <xsd:enumeration value="Aywaille"/>
              <xsd:enumeration value="Baarle-Hertog"/>
              <xsd:enumeration value="Balen"/>
              <xsd:enumeration value="Bastogne"/>
              <xsd:enumeration value="Beaumont"/>
              <xsd:enumeration value="Beauraing"/>
              <xsd:enumeration value="Beerse"/>
              <xsd:enumeration value="Beloeil"/>
              <xsd:enumeration value="Beringen"/>
              <xsd:enumeration value="Berlaar"/>
              <xsd:enumeration value="Berlare"/>
              <xsd:enumeration value="Bernissart"/>
              <xsd:enumeration value="Bertrix"/>
              <xsd:enumeration value="Beveren"/>
              <xsd:enumeration value="Bilzen"/>
              <xsd:enumeration value="Binche"/>
              <xsd:enumeration value="Blankenberge"/>
              <xsd:enumeration value="Boom"/>
              <xsd:enumeration value="Bornem"/>
              <xsd:enumeration value="Borsbeek"/>
              <xsd:enumeration value="Bouillon"/>
              <xsd:enumeration value="Braine-l'Alleud"/>
              <xsd:enumeration value="Braine-Le-Comte"/>
              <xsd:enumeration value="Brakel"/>
              <xsd:enumeration value="Brasschaat"/>
              <xsd:enumeration value="Brecht"/>
              <xsd:enumeration value="Bree"/>
              <xsd:enumeration value="Brugge"/>
              <xsd:enumeration value="Brussel-Bruxelles"/>
              <xsd:enumeration value="Buggenhout"/>
              <xsd:enumeration value="Bullange"/>
              <xsd:enumeration value="Burg-Reuland"/>
              <xsd:enumeration value="Charleroi"/>
              <xsd:enumeration value="Chièvres"/>
              <xsd:enumeration value="Chimay"/>
              <xsd:enumeration value="Ciney"/>
              <xsd:enumeration value="Comines-Warneton"/>
              <xsd:enumeration value="Couvin"/>
              <xsd:enumeration value="De Haan"/>
              <xsd:enumeration value="De Panne"/>
              <xsd:enumeration value="Deerlijk"/>
              <xsd:enumeration value="Deinze"/>
              <xsd:enumeration value="Denderleeuw"/>
              <xsd:enumeration value="Dendermonde"/>
              <xsd:enumeration value="Diest"/>
              <xsd:enumeration value="Diksmuide"/>
              <xsd:enumeration value="Dinant"/>
              <xsd:enumeration value="Dour"/>
              <xsd:enumeration value="Duffel"/>
              <xsd:enumeration value="Edegem"/>
              <xsd:enumeration value="Eeklo"/>
              <xsd:enumeration value="Eghezée"/>
              <xsd:enumeration value="Enghien"/>
              <xsd:enumeration value="Erezée"/>
              <xsd:enumeration value="Essen"/>
              <xsd:enumeration value="Etalle"/>
              <xsd:enumeration value="Eupen"/>
              <xsd:enumeration value="Flémalle"/>
              <xsd:enumeration value="Fleurus"/>
              <xsd:enumeration value="Florennes"/>
              <xsd:enumeration value="Fosses-La-Ville"/>
              <xsd:enumeration value="Gavere"/>
              <xsd:enumeration value="Gedinne"/>
              <xsd:enumeration value="Geel"/>
              <xsd:enumeration value="Gembloux"/>
              <xsd:enumeration value="Genk"/>
              <xsd:enumeration value="Gent"/>
              <xsd:enumeration value="Geraardsbergen"/>
              <xsd:enumeration value="Gistel"/>
              <xsd:enumeration value="Grobbendonk"/>
              <xsd:enumeration value="Halle"/>
              <xsd:enumeration value="Hamme"/>
              <xsd:enumeration value="Hamoir"/>
              <xsd:enumeration value="Hannut"/>
              <xsd:enumeration value="Harelbeke"/>
              <xsd:enumeration value="Hasselt"/>
              <xsd:enumeration value="Heist-op-den-Berg"/>
              <xsd:enumeration value="Hemiksem"/>
              <xsd:enumeration value="Herentals"/>
              <xsd:enumeration value="Herenthout"/>
              <xsd:enumeration value="Herve"/>
              <xsd:enumeration value="Herzele"/>
              <xsd:enumeration value="Heusden-Zolder"/>
              <xsd:enumeration value="Heuvelland"/>
              <xsd:enumeration value="Hoeselt"/>
              <xsd:enumeration value="Hooglede"/>
              <xsd:enumeration value="Hoogstraten"/>
              <xsd:enumeration value="Houffalize"/>
              <xsd:enumeration value="Houthulst"/>
              <xsd:enumeration value="Huy"/>
              <xsd:enumeration value="Ieper"/>
              <xsd:enumeration value="Ingelmunster"/>
              <xsd:enumeration value="Izegem"/>
              <xsd:enumeration value="Jodoigne"/>
              <xsd:enumeration value="Kalmthout"/>
              <xsd:enumeration value="Kapellen"/>
              <xsd:enumeration value="Kaprijke"/>
              <xsd:enumeration value="Kasterlee"/>
              <xsd:enumeration value="Kluisbergen"/>
              <xsd:enumeration value="Knokke-Heist"/>
              <xsd:enumeration value="Koekelare"/>
              <xsd:enumeration value="Koksijde"/>
              <xsd:enumeration value="Kontich"/>
              <xsd:enumeration value="Kortemark"/>
              <xsd:enumeration value="Kortrijk"/>
              <xsd:enumeration value="Kruibeke"/>
              <xsd:enumeration value="Kruishoutem"/>
              <xsd:enumeration value="Kuurne"/>
              <xsd:enumeration value="La Calamine"/>
              <xsd:enumeration value="La Louvière"/>
              <xsd:enumeration value="Landen"/>
              <xsd:enumeration value="Langemark-Poelkapelle"/>
              <xsd:enumeration value="Lebbeke"/>
              <xsd:enumeration value="Lede"/>
              <xsd:enumeration value="Ledegem"/>
              <xsd:enumeration value="Lendelede"/>
              <xsd:enumeration value="Lennik"/>
              <xsd:enumeration value="Leopoldsburg"/>
              <xsd:enumeration value="Lessines"/>
              <xsd:enumeration value="Leuven"/>
              <xsd:enumeration value="Leuze-en-Hainaut"/>
              <xsd:enumeration value="Lichtervelde"/>
              <xsd:enumeration value="Liège"/>
              <xsd:enumeration value="Lier"/>
              <xsd:enumeration value="Limbourg"/>
              <xsd:enumeration value="Lochristi"/>
              <xsd:enumeration value="Lokeren"/>
              <xsd:enumeration value="Lommel"/>
              <xsd:enumeration value="Londerzeel"/>
              <xsd:enumeration value="Lontzen-Herbesthal"/>
              <xsd:enumeration value="Lo-Reninge"/>
              <xsd:enumeration value="Maaseik"/>
              <xsd:enumeration value="Maasmechelen"/>
              <xsd:enumeration value="Maldegem"/>
              <xsd:enumeration value="Malle"/>
              <xsd:enumeration value="Malmedy"/>
              <xsd:enumeration value="Marche-en-Famenne"/>
              <xsd:enumeration value="Mechelen"/>
              <xsd:enumeration value="Melle"/>
              <xsd:enumeration value="Menen"/>
              <xsd:enumeration value="Merelbeke"/>
              <xsd:enumeration value="Merksplas"/>
              <xsd:enumeration value="Mesen"/>
              <xsd:enumeration value="Meulebeke"/>
              <xsd:enumeration value="Middelkerke"/>
              <xsd:enumeration value="Mol"/>
              <xsd:enumeration value="Mons"/>
              <xsd:enumeration value="Moorslede"/>
              <xsd:enumeration value="Mouscron"/>
              <xsd:enumeration value="Namur"/>
              <xsd:enumeration value="Neufchâteau"/>
              <xsd:enumeration value="Nevele"/>
              <xsd:enumeration value="Niel"/>
              <xsd:enumeration value="Nieuwpoort"/>
              <xsd:enumeration value="Nijlen"/>
              <xsd:enumeration value="Ninove"/>
              <xsd:enumeration value="Nivelles"/>
              <xsd:enumeration value="Oostende"/>
              <xsd:enumeration value="Oostkamp"/>
              <xsd:enumeration value="Opwijk"/>
              <xsd:enumeration value="Oudenaarde"/>
              <xsd:enumeration value="Overijse"/>
              <xsd:enumeration value="Paliseul"/>
              <xsd:enumeration value="Pépinster"/>
              <xsd:enumeration value="Péruwelz"/>
              <xsd:enumeration value="Philippeville"/>
              <xsd:enumeration value="Pittem"/>
              <xsd:enumeration value="Plombières"/>
              <xsd:enumeration value="Poperinge"/>
              <xsd:enumeration value="Putte"/>
              <xsd:enumeration value="Puurs"/>
              <xsd:enumeration value="Quiévrain"/>
              <xsd:enumeration value="Ravels"/>
              <xsd:enumeration value="Rijkevorsel"/>
              <xsd:enumeration value="Rochefort"/>
              <xsd:enumeration value="Roeselare"/>
              <xsd:enumeration value="Ronse"/>
              <xsd:enumeration value="Ruiselede"/>
              <xsd:enumeration value="Saint-Ghislain"/>
              <xsd:enumeration value="Saint-Hubert"/>
              <xsd:enumeration value="Saint-Vith"/>
              <xsd:enumeration value="Sambreville"/>
              <xsd:enumeration value="Scherpenheuvel-Zichem"/>
              <xsd:enumeration value="Schoten"/>
              <xsd:enumeration value="Sint-Gillis-Waas"/>
              <xsd:enumeration value="Sint-Niklaas"/>
              <xsd:enumeration value="Sint-Truiden"/>
              <xsd:enumeration value="Soignies"/>
              <xsd:enumeration value="Spa"/>
              <xsd:enumeration value="Staden"/>
              <xsd:enumeration value="Stavelot"/>
              <xsd:enumeration value="Stekene"/>
              <xsd:enumeration value="Temse"/>
              <xsd:enumeration value="Theux"/>
              <xsd:enumeration value="Thuin"/>
              <xsd:enumeration value="Tielt"/>
              <xsd:enumeration value="Tienen"/>
              <xsd:enumeration value="Tongeren"/>
              <xsd:enumeration value="Torhout"/>
              <xsd:enumeration value="Tournai"/>
              <xsd:enumeration value="Tubize"/>
              <xsd:enumeration value="Turnhout"/>
              <xsd:enumeration value="Verviers"/>
              <xsd:enumeration value="Veurne"/>
              <xsd:enumeration value="Vielsalm"/>
              <xsd:enumeration value="Vilvoorde"/>
              <xsd:enumeration value="Virton"/>
              <xsd:enumeration value="Vosselaar"/>
              <xsd:enumeration value="Vresse-sur-Semois"/>
              <xsd:enumeration value="Waarschoot"/>
              <xsd:enumeration value="Waasmunster"/>
              <xsd:enumeration value="Waimes"/>
              <xsd:enumeration value="Waregem"/>
              <xsd:enumeration value="Waremme"/>
              <xsd:enumeration value="Wavre"/>
              <xsd:enumeration value="Welkenraedt"/>
              <xsd:enumeration value="Wervik"/>
              <xsd:enumeration value="Westerlo"/>
              <xsd:enumeration value="Wetteren"/>
              <xsd:enumeration value="Wevelgem"/>
              <xsd:enumeration value="Wichelen"/>
              <xsd:enumeration value="Willebroek"/>
              <xsd:enumeration value="Wingene"/>
              <xsd:enumeration value="Wommelgem"/>
              <xsd:enumeration value="Wuustwezel"/>
              <xsd:enumeration value="Yvoir"/>
              <xsd:enumeration value="Zandhoven"/>
              <xsd:enumeration value="Zaventem"/>
              <xsd:enumeration value="Zele"/>
              <xsd:enumeration value="Zelzate"/>
              <xsd:enumeration value="Zoersel"/>
              <xsd:enumeration value="Zomergem"/>
              <xsd:enumeration value="Zonnebeke"/>
              <xsd:enumeration value="Zottegem"/>
              <xsd:enumeration value="Zwevegem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llaborateur xmlns="d6e05fb4-4ff7-45e7-9d0d-b9f3e278ffe2" xsi:nil="true"/>
    <EmailTo xmlns="http://schemas.microsoft.com/sharepoint/v3" xsi:nil="true"/>
    <EmailSender xmlns="http://schemas.microsoft.com/sharepoint/v3" xsi:nil="true"/>
    <EmailFrom xmlns="http://schemas.microsoft.com/sharepoint/v3" xsi:nil="true"/>
    <EmailSubject xmlns="http://schemas.microsoft.com/sharepoint/v3" xsi:nil="true"/>
    <sous-classement xmlns="d6e05fb4-4ff7-45e7-9d0d-b9f3e278ffe2" xsi:nil="true"/>
    <Catégorie xmlns="d6e05fb4-4ff7-45e7-9d0d-b9f3e278ffe2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7AF2372-4708-459D-BD74-16A8648C930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6727B20-D005-4BB1-B4AE-161D1F7F43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808952-6401-41EE-A42E-AECC270F37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6e05fb4-4ff7-45e7-9d0d-b9f3e278ff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F72703A-08A5-4A2A-8887-5C143FEDC53B}">
  <ds:schemaRefs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d6e05fb4-4ff7-45e7-9d0d-b9f3e278ffe2"/>
    <ds:schemaRef ds:uri="http://schemas.microsoft.com/office/2006/documentManagement/types"/>
    <ds:schemaRef ds:uri="http://schemas.microsoft.com/sharepoint/v3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9</vt:i4>
      </vt:variant>
    </vt:vector>
  </HeadingPairs>
  <TitlesOfParts>
    <vt:vector size="26" baseType="lpstr">
      <vt:lpstr>Page de garde</vt:lpstr>
      <vt:lpstr>NavBlad</vt:lpstr>
      <vt:lpstr>Rapp</vt:lpstr>
      <vt:lpstr>Données générales</vt:lpstr>
      <vt:lpstr>Recettes</vt:lpstr>
      <vt:lpstr>Dépenses</vt:lpstr>
      <vt:lpstr>Aperçu général</vt:lpstr>
      <vt:lpstr>Codes</vt:lpstr>
      <vt:lpstr>OverdrOntv</vt:lpstr>
      <vt:lpstr>SchuldOntv</vt:lpstr>
      <vt:lpstr>PersUitg</vt:lpstr>
      <vt:lpstr>WerkUitg</vt:lpstr>
      <vt:lpstr>OverdrUitg</vt:lpstr>
      <vt:lpstr>CorrMech</vt:lpstr>
      <vt:lpstr>SchUitg</vt:lpstr>
      <vt:lpstr>Overboek</vt:lpstr>
      <vt:lpstr>BU</vt:lpstr>
      <vt:lpstr>BezGrens</vt:lpstr>
      <vt:lpstr>EC</vt:lpstr>
      <vt:lpstr>EcGr</vt:lpstr>
      <vt:lpstr>Dépenses!Impression_des_titres</vt:lpstr>
      <vt:lpstr>Rapp!Impression_des_titres</vt:lpstr>
      <vt:lpstr>Recettes!Impression_des_titres</vt:lpstr>
      <vt:lpstr>Jaren</vt:lpstr>
      <vt:lpstr>JN</vt:lpstr>
      <vt:lpstr>OmEC</vt:lpstr>
    </vt:vector>
  </TitlesOfParts>
  <Manager>Eric Verheyden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Controlemodule begroting</dc:title>
  <dc:subject>Begrotingen politiezones</dc:subject>
  <dc:creator>Deloitte</dc:creator>
  <dc:description>Ontwikkeld in opdracht van de FOD Binnenlandse Zaken</dc:description>
  <cp:lastModifiedBy>Wauthier Françoise</cp:lastModifiedBy>
  <cp:lastPrinted>2004-01-07T08:55:13Z</cp:lastPrinted>
  <dcterms:created xsi:type="dcterms:W3CDTF">2003-12-17T18:35:22Z</dcterms:created>
  <dcterms:modified xsi:type="dcterms:W3CDTF">2020-07-07T07:50:00Z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0x010100AF8FFE35AADB574A956AB2FBEF841F1600892F220FD5D600469C422D4B3D19A145</vt:lpwstr>
  </property>
</Properties>
</file>